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comments1.xml" ContentType="application/vnd.openxmlformats-officedocument.spreadsheetml.comments+xml"/>
  <Override PartName="/xl/threadedComments/threadedComment1.xml" ContentType="application/vnd.ms-excel.threadedcomments+xml"/>
  <Override PartName="/xl/printerSettings/printerSettings2.bin" ContentType="application/vnd.openxmlformats-officedocument.spreadsheetml.printerSettings"/>
  <Override PartName="/xl/comments2.xml" ContentType="application/vnd.openxmlformats-officedocument.spreadsheetml.comments+xml"/>
  <Override PartName="/xl/threadedComments/threadedComment2.xml" ContentType="application/vnd.ms-excel.threadedcomments+xml"/>
  <Override PartName="/xl/printerSettings/printerSettings3.bin" ContentType="application/vnd.openxmlformats-officedocument.spreadsheetml.printerSettings"/>
  <Override PartName="/xl/comments3.xml" ContentType="application/vnd.openxmlformats-officedocument.spreadsheetml.comments+xml"/>
  <Override PartName="/xl/threadedComments/threadedComment3.xml" ContentType="application/vnd.ms-excel.threadedcomments+xml"/>
  <Override PartName="/xl/printerSettings/printerSettings4.bin" ContentType="application/vnd.openxmlformats-officedocument.spreadsheetml.printerSettings"/>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hisWorkbook"/>
  <mc:AlternateContent xmlns:mc="http://schemas.openxmlformats.org/markup-compatibility/2006">
    <mc:Choice Requires="x15">
      <x15ac:absPath xmlns:x15ac="http://schemas.microsoft.com/office/spreadsheetml/2010/11/ac" url="/Users/sanjeev/Desktop/ISA meeting/"/>
    </mc:Choice>
  </mc:AlternateContent>
  <xr:revisionPtr revIDLastSave="0" documentId="13_ncr:1_{72752764-AB21-6A4B-BD51-40322CE406D3}" xr6:coauthVersionLast="47" xr6:coauthVersionMax="47" xr10:uidLastSave="{00000000-0000-0000-0000-000000000000}"/>
  <bookViews>
    <workbookView xWindow="0" yWindow="760" windowWidth="29400" windowHeight="17080" tabRatio="705" activeTab="6" xr2:uid="{00000000-000D-0000-FFFF-FFFF00000000}"/>
  </bookViews>
  <sheets>
    <sheet name="Cognos_Office_Connection_Cache" sheetId="15" state="veryHidden" r:id="rId1"/>
    <sheet name="Notes" sheetId="18" r:id="rId2"/>
    <sheet name="Company-Level Reporting" sheetId="22" r:id="rId3"/>
    <sheet name="Plant-Level Reporting (1)" sheetId="10" r:id="rId4"/>
    <sheet name="Plant-Level Reporting (2)" sheetId="25" r:id="rId5"/>
    <sheet name="Plant-Level Reporting (3)" sheetId="26" r:id="rId6"/>
    <sheet name="Conversion and Emission Factors" sheetId="17" r:id="rId7"/>
    <sheet name="RefTab" sheetId="8" state="veryHidden" r:id="rId8"/>
  </sheets>
  <definedNames>
    <definedName name="ID" localSheetId="0" hidden="1">"8857a24e-f7fc-4035-a4c1-1b6cad331a4f"</definedName>
    <definedName name="ID" localSheetId="6" hidden="1">"a015100d-7abc-4110-ae78-e7ba0b048e84"</definedName>
    <definedName name="ID" localSheetId="3" hidden="1">"8672eea1-2192-4e42-a7f9-209b95f06ad4"</definedName>
    <definedName name="ID" localSheetId="4" hidden="1">"8672eea1-2192-4e42-a7f9-209b95f06ad4"</definedName>
    <definedName name="ID" localSheetId="5" hidden="1">"8672eea1-2192-4e42-a7f9-209b95f06ad4"</definedName>
    <definedName name="ID" localSheetId="7" hidden="1">"de6d0910-c8bd-44a3-a73d-66c00112321f"</definedName>
    <definedName name="_xlnm.Print_Area" localSheetId="3">'Plant-Level Reporting (1)'!$A$10:$P$172</definedName>
    <definedName name="_xlnm.Print_Area" localSheetId="4">'Plant-Level Reporting (2)'!$A$10:$P$174</definedName>
    <definedName name="_xlnm.Print_Area" localSheetId="5">'Plant-Level Reporting (3)'!$A$10:$P$174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2" i="10" l="1"/>
  <c r="F62" i="10"/>
  <c r="V185" i="10" l="1"/>
  <c r="F111" i="10"/>
  <c r="G111" i="10"/>
  <c r="E118" i="10"/>
  <c r="F95" i="10"/>
  <c r="G95" i="10"/>
  <c r="F114" i="10"/>
  <c r="G114" i="10"/>
  <c r="F115" i="10"/>
  <c r="G115" i="10"/>
  <c r="F158" i="10"/>
  <c r="G158" i="10"/>
  <c r="F159" i="10"/>
  <c r="G159" i="10"/>
  <c r="F160" i="10"/>
  <c r="G160" i="10"/>
  <c r="G131" i="26"/>
  <c r="F131" i="26"/>
  <c r="E131" i="26"/>
  <c r="G130" i="26"/>
  <c r="F130" i="26"/>
  <c r="AC130" i="26" s="1"/>
  <c r="E130" i="26"/>
  <c r="Z130" i="26" s="1"/>
  <c r="G129" i="26"/>
  <c r="F129" i="26"/>
  <c r="E129" i="26"/>
  <c r="G128" i="26"/>
  <c r="X128" i="26" s="1"/>
  <c r="X187" i="26" s="1"/>
  <c r="F128" i="26"/>
  <c r="E128" i="26"/>
  <c r="G131" i="25"/>
  <c r="F131" i="25"/>
  <c r="E131" i="25"/>
  <c r="G130" i="25"/>
  <c r="F130" i="25"/>
  <c r="E130" i="25"/>
  <c r="G129" i="25"/>
  <c r="F129" i="25"/>
  <c r="E129" i="25"/>
  <c r="G128" i="25"/>
  <c r="F128" i="25"/>
  <c r="E128" i="25"/>
  <c r="G126" i="10"/>
  <c r="G128" i="10"/>
  <c r="G129" i="10"/>
  <c r="E129" i="10"/>
  <c r="E128" i="10"/>
  <c r="E126" i="10"/>
  <c r="F129" i="10"/>
  <c r="F128" i="10"/>
  <c r="X128" i="10" s="1"/>
  <c r="F126" i="10"/>
  <c r="AB197" i="26"/>
  <c r="F197" i="26" s="1"/>
  <c r="H197" i="26" s="1"/>
  <c r="K197" i="26" s="1"/>
  <c r="AA197" i="26"/>
  <c r="Y197" i="26"/>
  <c r="W197" i="26"/>
  <c r="AB196" i="26"/>
  <c r="AA196" i="26"/>
  <c r="Z196" i="26"/>
  <c r="Y196" i="26"/>
  <c r="W196" i="26"/>
  <c r="AB195" i="26"/>
  <c r="AA195" i="26"/>
  <c r="Y195" i="26"/>
  <c r="X195" i="26"/>
  <c r="W195" i="26"/>
  <c r="V195" i="26"/>
  <c r="AB194" i="26"/>
  <c r="F194" i="26" s="1"/>
  <c r="H194" i="26" s="1"/>
  <c r="K194" i="26" s="1"/>
  <c r="AA194" i="26"/>
  <c r="Y194" i="26"/>
  <c r="W194" i="26"/>
  <c r="AB193" i="26"/>
  <c r="AA193" i="26"/>
  <c r="Y193" i="26"/>
  <c r="W193" i="26"/>
  <c r="AB192" i="26"/>
  <c r="F192" i="26" s="1"/>
  <c r="H192" i="26" s="1"/>
  <c r="K192" i="26" s="1"/>
  <c r="AA192" i="26"/>
  <c r="Y192" i="26"/>
  <c r="W192" i="26"/>
  <c r="AB191" i="26"/>
  <c r="AA191" i="26"/>
  <c r="Y191" i="26"/>
  <c r="W191" i="26"/>
  <c r="AC190" i="26"/>
  <c r="G190" i="26" s="1"/>
  <c r="AC189" i="26"/>
  <c r="AB189" i="26"/>
  <c r="F189" i="26" s="1"/>
  <c r="H189" i="26" s="1"/>
  <c r="K189" i="26" s="1"/>
  <c r="AA189" i="26"/>
  <c r="Y189" i="26"/>
  <c r="W189" i="26"/>
  <c r="AB188" i="26"/>
  <c r="AA188" i="26"/>
  <c r="Y188" i="26"/>
  <c r="W188" i="26"/>
  <c r="AC187" i="26"/>
  <c r="G187" i="26" s="1"/>
  <c r="AB187" i="26"/>
  <c r="F187" i="26" s="1"/>
  <c r="H187" i="26" s="1"/>
  <c r="K187" i="26" s="1"/>
  <c r="AA187" i="26"/>
  <c r="Y187" i="26"/>
  <c r="W187" i="26"/>
  <c r="AB186" i="26"/>
  <c r="F186" i="26" s="1"/>
  <c r="H186" i="26" s="1"/>
  <c r="K186" i="26" s="1"/>
  <c r="AA186" i="26"/>
  <c r="Y186" i="26"/>
  <c r="W186" i="26"/>
  <c r="AB185" i="26"/>
  <c r="AA185" i="26"/>
  <c r="Y185" i="26"/>
  <c r="W185" i="26"/>
  <c r="AB184" i="26"/>
  <c r="F184" i="26" s="1"/>
  <c r="H184" i="26" s="1"/>
  <c r="K184" i="26" s="1"/>
  <c r="AA184" i="26"/>
  <c r="Y184" i="26"/>
  <c r="W184" i="26"/>
  <c r="AB183" i="26"/>
  <c r="AA183" i="26"/>
  <c r="Y183" i="26"/>
  <c r="W183" i="26"/>
  <c r="AB182" i="26"/>
  <c r="F182" i="26" s="1"/>
  <c r="H182" i="26" s="1"/>
  <c r="K182" i="26" s="1"/>
  <c r="AA182" i="26"/>
  <c r="Y182" i="26"/>
  <c r="W182" i="26"/>
  <c r="D178" i="26"/>
  <c r="AC173" i="26"/>
  <c r="AC197" i="26" s="1"/>
  <c r="G197" i="26" s="1"/>
  <c r="Z173" i="26"/>
  <c r="X173" i="26"/>
  <c r="V173" i="26"/>
  <c r="K173" i="26"/>
  <c r="AC172" i="26"/>
  <c r="Z172" i="26"/>
  <c r="Z197" i="26" s="1"/>
  <c r="X172" i="26"/>
  <c r="K172" i="26"/>
  <c r="V172" i="26" s="1"/>
  <c r="V197" i="26" s="1"/>
  <c r="AC171" i="26"/>
  <c r="AC196" i="26" s="1"/>
  <c r="G196" i="26" s="1"/>
  <c r="Z171" i="26"/>
  <c r="X171" i="26"/>
  <c r="X196" i="26" s="1"/>
  <c r="V171" i="26"/>
  <c r="V196" i="26" s="1"/>
  <c r="AC170" i="26"/>
  <c r="AC195" i="26" s="1"/>
  <c r="G195" i="26" s="1"/>
  <c r="Z170" i="26"/>
  <c r="Z195" i="26" s="1"/>
  <c r="X170" i="26"/>
  <c r="V170" i="26"/>
  <c r="AC169" i="26"/>
  <c r="AC194" i="26" s="1"/>
  <c r="G194" i="26" s="1"/>
  <c r="Z169" i="26"/>
  <c r="X169" i="26"/>
  <c r="V169" i="26"/>
  <c r="AC168" i="26"/>
  <c r="Z168" i="26"/>
  <c r="X168" i="26"/>
  <c r="V168" i="26"/>
  <c r="AC167" i="26"/>
  <c r="Z167" i="26"/>
  <c r="X167" i="26"/>
  <c r="V167" i="26"/>
  <c r="V194" i="26" s="1"/>
  <c r="AC166" i="26"/>
  <c r="Z166" i="26"/>
  <c r="X166" i="26"/>
  <c r="V166" i="26"/>
  <c r="Z165" i="26"/>
  <c r="X165" i="26"/>
  <c r="V165" i="26"/>
  <c r="V192" i="26" s="1"/>
  <c r="N165" i="26"/>
  <c r="AC165" i="26" s="1"/>
  <c r="J165" i="26"/>
  <c r="AC164" i="26"/>
  <c r="AC192" i="26" s="1"/>
  <c r="G192" i="26" s="1"/>
  <c r="Z164" i="26"/>
  <c r="X164" i="26"/>
  <c r="V164" i="26"/>
  <c r="J164" i="26"/>
  <c r="Z163" i="26"/>
  <c r="X163" i="26"/>
  <c r="V163" i="26"/>
  <c r="U163" i="26"/>
  <c r="AB163" i="26" s="1"/>
  <c r="N163" i="26"/>
  <c r="X162" i="26"/>
  <c r="U162" i="26"/>
  <c r="AB162" i="26" s="1"/>
  <c r="R162" i="26"/>
  <c r="W162" i="26" s="1"/>
  <c r="N162" i="26"/>
  <c r="K162" i="26"/>
  <c r="J162" i="26"/>
  <c r="E162" i="26"/>
  <c r="AA162" i="26" s="1"/>
  <c r="Y161" i="26"/>
  <c r="X161" i="26"/>
  <c r="U161" i="26"/>
  <c r="AB161" i="26" s="1"/>
  <c r="R161" i="26"/>
  <c r="N161" i="26"/>
  <c r="J161" i="26"/>
  <c r="K161" i="26" s="1"/>
  <c r="E161" i="26"/>
  <c r="AA161" i="26" s="1"/>
  <c r="AB160" i="26"/>
  <c r="Y160" i="26"/>
  <c r="U160" i="26"/>
  <c r="R160" i="26"/>
  <c r="N160" i="26"/>
  <c r="J160" i="26"/>
  <c r="K160" i="26" s="1"/>
  <c r="E160" i="26"/>
  <c r="AA160" i="26" s="1"/>
  <c r="AC159" i="26"/>
  <c r="Z159" i="26"/>
  <c r="X159" i="26"/>
  <c r="V159" i="26"/>
  <c r="U159" i="26"/>
  <c r="N159" i="26"/>
  <c r="Z158" i="26"/>
  <c r="X158" i="26"/>
  <c r="X191" i="26" s="1"/>
  <c r="V158" i="26"/>
  <c r="U158" i="26"/>
  <c r="AC158" i="26" s="1"/>
  <c r="N158" i="26"/>
  <c r="Z157" i="26"/>
  <c r="Z191" i="26" s="1"/>
  <c r="X157" i="26"/>
  <c r="V157" i="26"/>
  <c r="V191" i="26" s="1"/>
  <c r="U157" i="26"/>
  <c r="AC157" i="26" s="1"/>
  <c r="N157" i="26"/>
  <c r="AB156" i="26"/>
  <c r="Z156" i="26"/>
  <c r="X156" i="26"/>
  <c r="V156" i="26"/>
  <c r="U156" i="26"/>
  <c r="N156" i="26"/>
  <c r="AB155" i="26"/>
  <c r="Z155" i="26"/>
  <c r="Z189" i="26" s="1"/>
  <c r="X155" i="26"/>
  <c r="X189" i="26" s="1"/>
  <c r="V155" i="26"/>
  <c r="V189" i="26" s="1"/>
  <c r="AC154" i="26"/>
  <c r="Z154" i="26"/>
  <c r="X154" i="26"/>
  <c r="V154" i="26"/>
  <c r="R154" i="26"/>
  <c r="AC153" i="26"/>
  <c r="Z153" i="26"/>
  <c r="X153" i="26"/>
  <c r="R153" i="26"/>
  <c r="V153" i="26" s="1"/>
  <c r="AC152" i="26"/>
  <c r="Z152" i="26"/>
  <c r="X152" i="26"/>
  <c r="V152" i="26"/>
  <c r="R152" i="26"/>
  <c r="AC151" i="26"/>
  <c r="Z151" i="26"/>
  <c r="X151" i="26"/>
  <c r="R151" i="26"/>
  <c r="V151" i="26" s="1"/>
  <c r="AC150" i="26"/>
  <c r="Z150" i="26"/>
  <c r="X150" i="26"/>
  <c r="V150" i="26"/>
  <c r="R150" i="26"/>
  <c r="AC149" i="26"/>
  <c r="Z149" i="26"/>
  <c r="X149" i="26"/>
  <c r="R149" i="26"/>
  <c r="V149" i="26" s="1"/>
  <c r="AC148" i="26"/>
  <c r="Z148" i="26"/>
  <c r="X148" i="26"/>
  <c r="V148" i="26"/>
  <c r="R148" i="26"/>
  <c r="AC147" i="26"/>
  <c r="Z147" i="26"/>
  <c r="X147" i="26"/>
  <c r="R147" i="26"/>
  <c r="V147" i="26" s="1"/>
  <c r="AC146" i="26"/>
  <c r="Z146" i="26"/>
  <c r="X146" i="26"/>
  <c r="V146" i="26"/>
  <c r="R146" i="26"/>
  <c r="AC145" i="26"/>
  <c r="Z145" i="26"/>
  <c r="X145" i="26"/>
  <c r="R145" i="26"/>
  <c r="V145" i="26" s="1"/>
  <c r="AC144" i="26"/>
  <c r="Z144" i="26"/>
  <c r="X144" i="26"/>
  <c r="V144" i="26"/>
  <c r="R144" i="26"/>
  <c r="AC143" i="26"/>
  <c r="Z143" i="26"/>
  <c r="X143" i="26"/>
  <c r="R143" i="26"/>
  <c r="V143" i="26" s="1"/>
  <c r="AC142" i="26"/>
  <c r="Z142" i="26"/>
  <c r="X142" i="26"/>
  <c r="V142" i="26"/>
  <c r="R142" i="26"/>
  <c r="AC141" i="26"/>
  <c r="Z141" i="26"/>
  <c r="X141" i="26"/>
  <c r="R141" i="26"/>
  <c r="V141" i="26" s="1"/>
  <c r="K141" i="26"/>
  <c r="AC140" i="26"/>
  <c r="Z140" i="26"/>
  <c r="X140" i="26"/>
  <c r="R140" i="26"/>
  <c r="V140" i="26" s="1"/>
  <c r="K140" i="26"/>
  <c r="AC139" i="26"/>
  <c r="Z139" i="26"/>
  <c r="X139" i="26"/>
  <c r="R139" i="26"/>
  <c r="V139" i="26" s="1"/>
  <c r="K139" i="26"/>
  <c r="AC138" i="26"/>
  <c r="Z138" i="26"/>
  <c r="X138" i="26"/>
  <c r="R138" i="26"/>
  <c r="V138" i="26" s="1"/>
  <c r="K138" i="26"/>
  <c r="AC137" i="26"/>
  <c r="Z137" i="26"/>
  <c r="X137" i="26"/>
  <c r="V137" i="26"/>
  <c r="R137" i="26"/>
  <c r="K137" i="26"/>
  <c r="AC136" i="26"/>
  <c r="Z136" i="26"/>
  <c r="X136" i="26"/>
  <c r="R136" i="26"/>
  <c r="V136" i="26" s="1"/>
  <c r="K136" i="26"/>
  <c r="AC135" i="26"/>
  <c r="Z135" i="26"/>
  <c r="X135" i="26"/>
  <c r="R135" i="26"/>
  <c r="V135" i="26" s="1"/>
  <c r="N135" i="26"/>
  <c r="K135" i="26"/>
  <c r="AC134" i="26"/>
  <c r="Z134" i="26"/>
  <c r="X134" i="26"/>
  <c r="R134" i="26"/>
  <c r="V134" i="26" s="1"/>
  <c r="N134" i="26"/>
  <c r="K134" i="26"/>
  <c r="Z133" i="26"/>
  <c r="X133" i="26"/>
  <c r="R133" i="26"/>
  <c r="V133" i="26" s="1"/>
  <c r="N133" i="26"/>
  <c r="AC133" i="26" s="1"/>
  <c r="K133" i="26"/>
  <c r="AC132" i="26"/>
  <c r="AC188" i="26" s="1"/>
  <c r="G188" i="26" s="1"/>
  <c r="Z132" i="26"/>
  <c r="X132" i="26"/>
  <c r="R132" i="26"/>
  <c r="V132" i="26" s="1"/>
  <c r="K132" i="26"/>
  <c r="AC131" i="26"/>
  <c r="Z131" i="26"/>
  <c r="X131" i="26"/>
  <c r="R131" i="26"/>
  <c r="V131" i="26" s="1"/>
  <c r="R130" i="26"/>
  <c r="V130" i="26" s="1"/>
  <c r="AC129" i="26"/>
  <c r="Z129" i="26"/>
  <c r="X129" i="26"/>
  <c r="R129" i="26"/>
  <c r="V129" i="26" s="1"/>
  <c r="Z128" i="26"/>
  <c r="Z187" i="26" s="1"/>
  <c r="R128" i="26"/>
  <c r="AC127" i="26"/>
  <c r="Z127" i="26"/>
  <c r="X127" i="26"/>
  <c r="R127" i="26"/>
  <c r="V127" i="26" s="1"/>
  <c r="K127" i="26"/>
  <c r="AC126" i="26"/>
  <c r="Z126" i="26"/>
  <c r="X126" i="26"/>
  <c r="R126" i="26"/>
  <c r="V126" i="26" s="1"/>
  <c r="K126" i="26"/>
  <c r="AC125" i="26"/>
  <c r="Z125" i="26"/>
  <c r="X125" i="26"/>
  <c r="V125" i="26"/>
  <c r="R125" i="26"/>
  <c r="K125" i="26"/>
  <c r="AC124" i="26"/>
  <c r="Z124" i="26"/>
  <c r="X124" i="26"/>
  <c r="V124" i="26"/>
  <c r="AC123" i="26"/>
  <c r="Z123" i="26"/>
  <c r="X123" i="26"/>
  <c r="V123" i="26"/>
  <c r="R123" i="26"/>
  <c r="K123" i="26"/>
  <c r="AC122" i="26"/>
  <c r="Z122" i="26"/>
  <c r="X122" i="26"/>
  <c r="R122" i="26"/>
  <c r="V122" i="26" s="1"/>
  <c r="K122" i="26"/>
  <c r="AC121" i="26"/>
  <c r="Z121" i="26"/>
  <c r="X121" i="26"/>
  <c r="R121" i="26"/>
  <c r="V121" i="26" s="1"/>
  <c r="K121" i="26"/>
  <c r="AC120" i="26"/>
  <c r="Z120" i="26"/>
  <c r="X120" i="26"/>
  <c r="X185" i="26" s="1"/>
  <c r="R120" i="26"/>
  <c r="V120" i="26" s="1"/>
  <c r="K120" i="26"/>
  <c r="AC119" i="26"/>
  <c r="AC185" i="26" s="1"/>
  <c r="G185" i="26" s="1"/>
  <c r="Z119" i="26"/>
  <c r="X119" i="26"/>
  <c r="R119" i="26"/>
  <c r="V119" i="26" s="1"/>
  <c r="V185" i="26" s="1"/>
  <c r="K119" i="26"/>
  <c r="AC118" i="26"/>
  <c r="Z118" i="26"/>
  <c r="X118" i="26"/>
  <c r="X193" i="26" s="1"/>
  <c r="V118" i="26"/>
  <c r="K118" i="26"/>
  <c r="AC117" i="26"/>
  <c r="V117" i="26"/>
  <c r="E117" i="26"/>
  <c r="Z117" i="26" s="1"/>
  <c r="AC116" i="26"/>
  <c r="AC184" i="26" s="1"/>
  <c r="G184" i="26" s="1"/>
  <c r="Z116" i="26"/>
  <c r="X116" i="26"/>
  <c r="V116" i="26"/>
  <c r="V184" i="26" s="1"/>
  <c r="E116" i="26"/>
  <c r="AC115" i="26"/>
  <c r="Z115" i="26"/>
  <c r="X115" i="26"/>
  <c r="V115" i="26"/>
  <c r="AC114" i="26"/>
  <c r="Z114" i="26"/>
  <c r="X114" i="26"/>
  <c r="R114" i="26"/>
  <c r="J114" i="26"/>
  <c r="K114" i="26" s="1"/>
  <c r="V114" i="26" s="1"/>
  <c r="AC113" i="26"/>
  <c r="V113" i="26"/>
  <c r="E113" i="26"/>
  <c r="X113" i="26" s="1"/>
  <c r="AC112" i="26"/>
  <c r="AC186" i="26" s="1"/>
  <c r="G186" i="26" s="1"/>
  <c r="Z112" i="26"/>
  <c r="X112" i="26"/>
  <c r="R112" i="26"/>
  <c r="V112" i="26" s="1"/>
  <c r="V186" i="26" s="1"/>
  <c r="J112" i="26"/>
  <c r="K112" i="26" s="1"/>
  <c r="AC111" i="26"/>
  <c r="Z111" i="26"/>
  <c r="X111" i="26"/>
  <c r="V111" i="26"/>
  <c r="AC110" i="26"/>
  <c r="Z110" i="26"/>
  <c r="X110" i="26"/>
  <c r="V110" i="26"/>
  <c r="AC109" i="26"/>
  <c r="Z109" i="26"/>
  <c r="X109" i="26"/>
  <c r="V109" i="26"/>
  <c r="AC108" i="26"/>
  <c r="Z108" i="26"/>
  <c r="X108" i="26"/>
  <c r="V108" i="26"/>
  <c r="AC107" i="26"/>
  <c r="Z107" i="26"/>
  <c r="X107" i="26"/>
  <c r="R107" i="26"/>
  <c r="V107" i="26" s="1"/>
  <c r="J107" i="26"/>
  <c r="K107" i="26" s="1"/>
  <c r="Z106" i="26"/>
  <c r="X106" i="26"/>
  <c r="R106" i="26"/>
  <c r="J106" i="26"/>
  <c r="K106" i="26" s="1"/>
  <c r="N106" i="26" s="1"/>
  <c r="AC106" i="26" s="1"/>
  <c r="AC105" i="26"/>
  <c r="Z105" i="26"/>
  <c r="X105" i="26"/>
  <c r="V105" i="26"/>
  <c r="R105" i="26"/>
  <c r="K105" i="26"/>
  <c r="Z104" i="26"/>
  <c r="X104" i="26"/>
  <c r="R104" i="26"/>
  <c r="V104" i="26" s="1"/>
  <c r="N104" i="26"/>
  <c r="AC104" i="26" s="1"/>
  <c r="K104" i="26"/>
  <c r="AC103" i="26"/>
  <c r="Z103" i="26"/>
  <c r="X103" i="26"/>
  <c r="R103" i="26"/>
  <c r="V103" i="26" s="1"/>
  <c r="N103" i="26"/>
  <c r="N102" i="26" s="1"/>
  <c r="AC102" i="26" s="1"/>
  <c r="K103" i="26"/>
  <c r="Z102" i="26"/>
  <c r="Z183" i="26" s="1"/>
  <c r="X102" i="26"/>
  <c r="V102" i="26"/>
  <c r="R102" i="26"/>
  <c r="K102" i="26"/>
  <c r="AC101" i="26"/>
  <c r="Z101" i="26"/>
  <c r="X101" i="26"/>
  <c r="R101" i="26"/>
  <c r="V101" i="26" s="1"/>
  <c r="K101" i="26"/>
  <c r="AC100" i="26"/>
  <c r="Z100" i="26"/>
  <c r="X100" i="26"/>
  <c r="R100" i="26"/>
  <c r="V100" i="26" s="1"/>
  <c r="K100" i="26"/>
  <c r="AC99" i="26"/>
  <c r="Z99" i="26"/>
  <c r="X99" i="26"/>
  <c r="R99" i="26"/>
  <c r="V99" i="26" s="1"/>
  <c r="K99" i="26"/>
  <c r="AC98" i="26"/>
  <c r="Z98" i="26"/>
  <c r="X98" i="26"/>
  <c r="V98" i="26"/>
  <c r="AC97" i="26"/>
  <c r="Z97" i="26"/>
  <c r="X97" i="26"/>
  <c r="R97" i="26"/>
  <c r="V97" i="26" s="1"/>
  <c r="K97" i="26"/>
  <c r="J97" i="26"/>
  <c r="E97" i="26"/>
  <c r="AC96" i="26"/>
  <c r="Z96" i="26"/>
  <c r="X96" i="26"/>
  <c r="R96" i="26"/>
  <c r="V96" i="26" s="1"/>
  <c r="J96" i="26"/>
  <c r="AC95" i="26"/>
  <c r="AC182" i="26" s="1"/>
  <c r="G182" i="26" s="1"/>
  <c r="Z95" i="26"/>
  <c r="X95" i="26"/>
  <c r="R95" i="26"/>
  <c r="J95" i="26"/>
  <c r="K95" i="26" s="1"/>
  <c r="AC94" i="26"/>
  <c r="Z94" i="26"/>
  <c r="X94" i="26"/>
  <c r="R94" i="26"/>
  <c r="J94" i="26"/>
  <c r="K94" i="26" s="1"/>
  <c r="V94" i="26" s="1"/>
  <c r="AC93" i="26"/>
  <c r="Z93" i="26"/>
  <c r="X93" i="26"/>
  <c r="R93" i="26"/>
  <c r="J93" i="26"/>
  <c r="K93" i="26" s="1"/>
  <c r="AC92" i="26"/>
  <c r="Z92" i="26"/>
  <c r="X92" i="26"/>
  <c r="R92" i="26"/>
  <c r="V92" i="26" s="1"/>
  <c r="J92" i="26"/>
  <c r="K92" i="26" s="1"/>
  <c r="AC91" i="26"/>
  <c r="AC199" i="26" s="1"/>
  <c r="G199" i="26" s="1"/>
  <c r="Z91" i="26"/>
  <c r="X91" i="26"/>
  <c r="V91" i="26"/>
  <c r="R91" i="26"/>
  <c r="K91" i="26"/>
  <c r="J91" i="26"/>
  <c r="AC90" i="26"/>
  <c r="Z90" i="26"/>
  <c r="X90" i="26"/>
  <c r="R90" i="26"/>
  <c r="V90" i="26" s="1"/>
  <c r="K90" i="26"/>
  <c r="J90" i="26"/>
  <c r="AC89" i="26"/>
  <c r="AC193" i="26" s="1"/>
  <c r="G193" i="26" s="1"/>
  <c r="Z89" i="26"/>
  <c r="X89" i="26"/>
  <c r="R89" i="26"/>
  <c r="V89" i="26" s="1"/>
  <c r="K89" i="26"/>
  <c r="E81" i="26"/>
  <c r="D81" i="26"/>
  <c r="H62" i="26"/>
  <c r="G62" i="26"/>
  <c r="F62" i="26"/>
  <c r="H54" i="26"/>
  <c r="G54" i="26"/>
  <c r="F54" i="26"/>
  <c r="AC197" i="25"/>
  <c r="G197" i="25" s="1"/>
  <c r="AB197" i="25"/>
  <c r="F197" i="25" s="1"/>
  <c r="H197" i="25" s="1"/>
  <c r="K197" i="25" s="1"/>
  <c r="AA197" i="25"/>
  <c r="Y197" i="25"/>
  <c r="W197" i="25"/>
  <c r="AC196" i="25"/>
  <c r="AB196" i="25"/>
  <c r="AA196" i="25"/>
  <c r="Y196" i="25"/>
  <c r="W196" i="25"/>
  <c r="AB195" i="25"/>
  <c r="AA195" i="25"/>
  <c r="Y195" i="25"/>
  <c r="W195" i="25"/>
  <c r="AB194" i="25"/>
  <c r="F194" i="25" s="1"/>
  <c r="H194" i="25" s="1"/>
  <c r="K194" i="25" s="1"/>
  <c r="AA194" i="25"/>
  <c r="Y194" i="25"/>
  <c r="W194" i="25"/>
  <c r="AB193" i="25"/>
  <c r="AA193" i="25"/>
  <c r="Y193" i="25"/>
  <c r="W193" i="25"/>
  <c r="AB192" i="25"/>
  <c r="F192" i="25" s="1"/>
  <c r="H192" i="25" s="1"/>
  <c r="K192" i="25" s="1"/>
  <c r="AA192" i="25"/>
  <c r="Y192" i="25"/>
  <c r="W192" i="25"/>
  <c r="AB191" i="25"/>
  <c r="AA191" i="25"/>
  <c r="Y191" i="25"/>
  <c r="W191" i="25"/>
  <c r="AC190" i="25"/>
  <c r="G190" i="25" s="1"/>
  <c r="AC189" i="25"/>
  <c r="G189" i="25" s="1"/>
  <c r="AA189" i="25"/>
  <c r="Y189" i="25"/>
  <c r="W189" i="25"/>
  <c r="AB188" i="25"/>
  <c r="AA188" i="25"/>
  <c r="Y188" i="25"/>
  <c r="W188" i="25"/>
  <c r="AC187" i="25"/>
  <c r="G187" i="25" s="1"/>
  <c r="AB187" i="25"/>
  <c r="F187" i="25" s="1"/>
  <c r="H187" i="25" s="1"/>
  <c r="K187" i="25" s="1"/>
  <c r="AA187" i="25"/>
  <c r="Y187" i="25"/>
  <c r="W187" i="25"/>
  <c r="AB186" i="25"/>
  <c r="AA186" i="25"/>
  <c r="Y186" i="25"/>
  <c r="W186" i="25"/>
  <c r="AB185" i="25"/>
  <c r="AA185" i="25"/>
  <c r="Y185" i="25"/>
  <c r="W185" i="25"/>
  <c r="AB184" i="25"/>
  <c r="F184" i="25" s="1"/>
  <c r="H184" i="25" s="1"/>
  <c r="K184" i="25" s="1"/>
  <c r="AA184" i="25"/>
  <c r="Y184" i="25"/>
  <c r="W184" i="25"/>
  <c r="AB183" i="25"/>
  <c r="AA183" i="25"/>
  <c r="Y183" i="25"/>
  <c r="W183" i="25"/>
  <c r="AC182" i="25"/>
  <c r="G182" i="25" s="1"/>
  <c r="AB182" i="25"/>
  <c r="F182" i="25" s="1"/>
  <c r="H182" i="25" s="1"/>
  <c r="K182" i="25" s="1"/>
  <c r="AA182" i="25"/>
  <c r="Y182" i="25"/>
  <c r="W182" i="25"/>
  <c r="D178" i="25"/>
  <c r="AC173" i="25"/>
  <c r="Z173" i="25"/>
  <c r="X173" i="25"/>
  <c r="K173" i="25"/>
  <c r="V173" i="25" s="1"/>
  <c r="AC172" i="25"/>
  <c r="Z172" i="25"/>
  <c r="X172" i="25"/>
  <c r="K172" i="25"/>
  <c r="V172" i="25" s="1"/>
  <c r="V197" i="25" s="1"/>
  <c r="AC171" i="25"/>
  <c r="Z171" i="25"/>
  <c r="Z196" i="25" s="1"/>
  <c r="X171" i="25"/>
  <c r="X196" i="25" s="1"/>
  <c r="V171" i="25"/>
  <c r="V196" i="25" s="1"/>
  <c r="AC170" i="25"/>
  <c r="AC195" i="25" s="1"/>
  <c r="G195" i="25" s="1"/>
  <c r="Z170" i="25"/>
  <c r="Z195" i="25" s="1"/>
  <c r="X170" i="25"/>
  <c r="X195" i="25" s="1"/>
  <c r="V170" i="25"/>
  <c r="V195" i="25" s="1"/>
  <c r="AC169" i="25"/>
  <c r="AC194" i="25" s="1"/>
  <c r="G194" i="25" s="1"/>
  <c r="Z169" i="25"/>
  <c r="X169" i="25"/>
  <c r="V169" i="25"/>
  <c r="AC168" i="25"/>
  <c r="Z168" i="25"/>
  <c r="X168" i="25"/>
  <c r="V168" i="25"/>
  <c r="AC167" i="25"/>
  <c r="Z167" i="25"/>
  <c r="X167" i="25"/>
  <c r="X194" i="25" s="1"/>
  <c r="V167" i="25"/>
  <c r="V194" i="25" s="1"/>
  <c r="AC166" i="25"/>
  <c r="Z166" i="25"/>
  <c r="X166" i="25"/>
  <c r="V166" i="25"/>
  <c r="Z165" i="25"/>
  <c r="X165" i="25"/>
  <c r="V165" i="25"/>
  <c r="V192" i="25" s="1"/>
  <c r="N165" i="25"/>
  <c r="AC165" i="25" s="1"/>
  <c r="AC192" i="25" s="1"/>
  <c r="G192" i="25" s="1"/>
  <c r="J165" i="25"/>
  <c r="AC164" i="25"/>
  <c r="Z164" i="25"/>
  <c r="X164" i="25"/>
  <c r="V164" i="25"/>
  <c r="J164" i="25"/>
  <c r="Z163" i="25"/>
  <c r="X163" i="25"/>
  <c r="V163" i="25"/>
  <c r="U163" i="25"/>
  <c r="AB163" i="25" s="1"/>
  <c r="N163" i="25"/>
  <c r="AA162" i="25"/>
  <c r="Y162" i="25"/>
  <c r="X162" i="25"/>
  <c r="U162" i="25"/>
  <c r="AB162" i="25" s="1"/>
  <c r="R162" i="25"/>
  <c r="W162" i="25" s="1"/>
  <c r="N162" i="25"/>
  <c r="K162" i="25"/>
  <c r="J162" i="25"/>
  <c r="E162" i="25"/>
  <c r="Z162" i="25" s="1"/>
  <c r="Y161" i="25"/>
  <c r="X161" i="25"/>
  <c r="U161" i="25"/>
  <c r="AB161" i="25" s="1"/>
  <c r="R161" i="25"/>
  <c r="V161" i="25" s="1"/>
  <c r="N161" i="25"/>
  <c r="J161" i="25"/>
  <c r="K161" i="25" s="1"/>
  <c r="W161" i="25" s="1"/>
  <c r="E161" i="25"/>
  <c r="AA161" i="25" s="1"/>
  <c r="U160" i="25"/>
  <c r="AB160" i="25" s="1"/>
  <c r="R160" i="25"/>
  <c r="W160" i="25" s="1"/>
  <c r="N160" i="25"/>
  <c r="J160" i="25"/>
  <c r="K160" i="25" s="1"/>
  <c r="E160" i="25"/>
  <c r="Y160" i="25" s="1"/>
  <c r="Z159" i="25"/>
  <c r="X159" i="25"/>
  <c r="V159" i="25"/>
  <c r="U159" i="25"/>
  <c r="AC159" i="25" s="1"/>
  <c r="N159" i="25"/>
  <c r="Z158" i="25"/>
  <c r="X158" i="25"/>
  <c r="V158" i="25"/>
  <c r="U158" i="25"/>
  <c r="AC158" i="25" s="1"/>
  <c r="N158" i="25"/>
  <c r="Z157" i="25"/>
  <c r="Z191" i="25" s="1"/>
  <c r="X157" i="25"/>
  <c r="X191" i="25" s="1"/>
  <c r="V157" i="25"/>
  <c r="V191" i="25" s="1"/>
  <c r="U157" i="25"/>
  <c r="AC157" i="25" s="1"/>
  <c r="N157" i="25"/>
  <c r="Z156" i="25"/>
  <c r="X156" i="25"/>
  <c r="V156" i="25"/>
  <c r="U156" i="25"/>
  <c r="AB156" i="25" s="1"/>
  <c r="N156" i="25"/>
  <c r="AB155" i="25"/>
  <c r="AB189" i="25" s="1"/>
  <c r="F189" i="25" s="1"/>
  <c r="H189" i="25" s="1"/>
  <c r="K189" i="25" s="1"/>
  <c r="Z155" i="25"/>
  <c r="Z189" i="25" s="1"/>
  <c r="X155" i="25"/>
  <c r="X189" i="25" s="1"/>
  <c r="V155" i="25"/>
  <c r="V189" i="25" s="1"/>
  <c r="AC154" i="25"/>
  <c r="Z154" i="25"/>
  <c r="X154" i="25"/>
  <c r="V154" i="25"/>
  <c r="R154" i="25"/>
  <c r="AC153" i="25"/>
  <c r="Z153" i="25"/>
  <c r="X153" i="25"/>
  <c r="R153" i="25"/>
  <c r="V153" i="25" s="1"/>
  <c r="AC152" i="25"/>
  <c r="Z152" i="25"/>
  <c r="X152" i="25"/>
  <c r="V152" i="25"/>
  <c r="R152" i="25"/>
  <c r="AC151" i="25"/>
  <c r="Z151" i="25"/>
  <c r="X151" i="25"/>
  <c r="R151" i="25"/>
  <c r="V151" i="25" s="1"/>
  <c r="AC150" i="25"/>
  <c r="Z150" i="25"/>
  <c r="X150" i="25"/>
  <c r="V150" i="25"/>
  <c r="R150" i="25"/>
  <c r="AC149" i="25"/>
  <c r="Z149" i="25"/>
  <c r="X149" i="25"/>
  <c r="R149" i="25"/>
  <c r="V149" i="25" s="1"/>
  <c r="AC148" i="25"/>
  <c r="Z148" i="25"/>
  <c r="X148" i="25"/>
  <c r="V148" i="25"/>
  <c r="R148" i="25"/>
  <c r="AC147" i="25"/>
  <c r="Z147" i="25"/>
  <c r="X147" i="25"/>
  <c r="R147" i="25"/>
  <c r="V147" i="25" s="1"/>
  <c r="AC146" i="25"/>
  <c r="Z146" i="25"/>
  <c r="X146" i="25"/>
  <c r="V146" i="25"/>
  <c r="R146" i="25"/>
  <c r="AC145" i="25"/>
  <c r="Z145" i="25"/>
  <c r="X145" i="25"/>
  <c r="R145" i="25"/>
  <c r="V145" i="25" s="1"/>
  <c r="AC144" i="25"/>
  <c r="Z144" i="25"/>
  <c r="X144" i="25"/>
  <c r="V144" i="25"/>
  <c r="R144" i="25"/>
  <c r="AC143" i="25"/>
  <c r="Z143" i="25"/>
  <c r="X143" i="25"/>
  <c r="R143" i="25"/>
  <c r="V143" i="25" s="1"/>
  <c r="AC142" i="25"/>
  <c r="Z142" i="25"/>
  <c r="X142" i="25"/>
  <c r="V142" i="25"/>
  <c r="R142" i="25"/>
  <c r="AC141" i="25"/>
  <c r="Z141" i="25"/>
  <c r="X141" i="25"/>
  <c r="R141" i="25"/>
  <c r="V141" i="25" s="1"/>
  <c r="K141" i="25"/>
  <c r="AC140" i="25"/>
  <c r="Z140" i="25"/>
  <c r="X140" i="25"/>
  <c r="R140" i="25"/>
  <c r="K140" i="25"/>
  <c r="V140" i="25" s="1"/>
  <c r="AC139" i="25"/>
  <c r="Z139" i="25"/>
  <c r="X139" i="25"/>
  <c r="R139" i="25"/>
  <c r="V139" i="25" s="1"/>
  <c r="K139" i="25"/>
  <c r="AC138" i="25"/>
  <c r="Z138" i="25"/>
  <c r="X138" i="25"/>
  <c r="R138" i="25"/>
  <c r="V138" i="25" s="1"/>
  <c r="K138" i="25"/>
  <c r="AC137" i="25"/>
  <c r="Z137" i="25"/>
  <c r="X137" i="25"/>
  <c r="R137" i="25"/>
  <c r="V137" i="25" s="1"/>
  <c r="K137" i="25"/>
  <c r="AC136" i="25"/>
  <c r="Z136" i="25"/>
  <c r="X136" i="25"/>
  <c r="R136" i="25"/>
  <c r="V136" i="25" s="1"/>
  <c r="K136" i="25"/>
  <c r="AC135" i="25"/>
  <c r="Z135" i="25"/>
  <c r="X135" i="25"/>
  <c r="R135" i="25"/>
  <c r="N135" i="25"/>
  <c r="K135" i="25"/>
  <c r="V135" i="25" s="1"/>
  <c r="AC134" i="25"/>
  <c r="Z134" i="25"/>
  <c r="Z188" i="25" s="1"/>
  <c r="X134" i="25"/>
  <c r="V134" i="25"/>
  <c r="R134" i="25"/>
  <c r="N134" i="25"/>
  <c r="K134" i="25"/>
  <c r="Z133" i="25"/>
  <c r="X133" i="25"/>
  <c r="R133" i="25"/>
  <c r="V133" i="25" s="1"/>
  <c r="N133" i="25"/>
  <c r="AC133" i="25" s="1"/>
  <c r="K133" i="25"/>
  <c r="AC132" i="25"/>
  <c r="AC188" i="25" s="1"/>
  <c r="G188" i="25" s="1"/>
  <c r="Z132" i="25"/>
  <c r="X132" i="25"/>
  <c r="R132" i="25"/>
  <c r="V132" i="25" s="1"/>
  <c r="V188" i="25" s="1"/>
  <c r="K132" i="25"/>
  <c r="AC131" i="25"/>
  <c r="Z131" i="25"/>
  <c r="X131" i="25"/>
  <c r="V131" i="25"/>
  <c r="R131" i="25"/>
  <c r="AC130" i="25"/>
  <c r="Z130" i="25"/>
  <c r="X130" i="25"/>
  <c r="R130" i="25"/>
  <c r="V130" i="25" s="1"/>
  <c r="AC129" i="25"/>
  <c r="Z129" i="25"/>
  <c r="X129" i="25"/>
  <c r="X187" i="25" s="1"/>
  <c r="V129" i="25"/>
  <c r="R129" i="25"/>
  <c r="AC128" i="25"/>
  <c r="Z128" i="25"/>
  <c r="Z187" i="25" s="1"/>
  <c r="X128" i="25"/>
  <c r="R128" i="25"/>
  <c r="V128" i="25" s="1"/>
  <c r="AC127" i="25"/>
  <c r="Z127" i="25"/>
  <c r="X127" i="25"/>
  <c r="V127" i="25"/>
  <c r="R127" i="25"/>
  <c r="K127" i="25"/>
  <c r="AC126" i="25"/>
  <c r="Z126" i="25"/>
  <c r="X126" i="25"/>
  <c r="R126" i="25"/>
  <c r="V126" i="25" s="1"/>
  <c r="K126" i="25"/>
  <c r="AC125" i="25"/>
  <c r="Z125" i="25"/>
  <c r="X125" i="25"/>
  <c r="V125" i="25"/>
  <c r="R125" i="25"/>
  <c r="K125" i="25"/>
  <c r="AC124" i="25"/>
  <c r="Z124" i="25"/>
  <c r="X124" i="25"/>
  <c r="V124" i="25"/>
  <c r="AC123" i="25"/>
  <c r="Z123" i="25"/>
  <c r="X123" i="25"/>
  <c r="V123" i="25"/>
  <c r="R123" i="25"/>
  <c r="K123" i="25"/>
  <c r="AC122" i="25"/>
  <c r="Z122" i="25"/>
  <c r="X122" i="25"/>
  <c r="R122" i="25"/>
  <c r="V122" i="25" s="1"/>
  <c r="K122" i="25"/>
  <c r="AC121" i="25"/>
  <c r="Z121" i="25"/>
  <c r="X121" i="25"/>
  <c r="R121" i="25"/>
  <c r="V121" i="25" s="1"/>
  <c r="K121" i="25"/>
  <c r="AC120" i="25"/>
  <c r="AC185" i="25" s="1"/>
  <c r="G185" i="25" s="1"/>
  <c r="Z120" i="25"/>
  <c r="Z185" i="25" s="1"/>
  <c r="X120" i="25"/>
  <c r="V120" i="25"/>
  <c r="R120" i="25"/>
  <c r="K120" i="25"/>
  <c r="AC119" i="25"/>
  <c r="Z119" i="25"/>
  <c r="X119" i="25"/>
  <c r="R119" i="25"/>
  <c r="V119" i="25" s="1"/>
  <c r="K119" i="25"/>
  <c r="AC118" i="25"/>
  <c r="Z118" i="25"/>
  <c r="X118" i="25"/>
  <c r="V118" i="25"/>
  <c r="K118" i="25"/>
  <c r="AC117" i="25"/>
  <c r="V117" i="25"/>
  <c r="E117" i="25"/>
  <c r="Z117" i="25" s="1"/>
  <c r="AC116" i="25"/>
  <c r="Z116" i="25"/>
  <c r="X116" i="25"/>
  <c r="V116" i="25"/>
  <c r="E116" i="25"/>
  <c r="AC115" i="25"/>
  <c r="Z115" i="25"/>
  <c r="X115" i="25"/>
  <c r="V115" i="25"/>
  <c r="AC114" i="25"/>
  <c r="Z114" i="25"/>
  <c r="X114" i="25"/>
  <c r="R114" i="25"/>
  <c r="V114" i="25" s="1"/>
  <c r="K114" i="25"/>
  <c r="J114" i="25"/>
  <c r="AC113" i="25"/>
  <c r="V113" i="25"/>
  <c r="E113" i="25"/>
  <c r="Z113" i="25" s="1"/>
  <c r="AC112" i="25"/>
  <c r="AC186" i="25" s="1"/>
  <c r="G186" i="25" s="1"/>
  <c r="Z112" i="25"/>
  <c r="X112" i="25"/>
  <c r="R112" i="25"/>
  <c r="J112" i="25"/>
  <c r="K112" i="25" s="1"/>
  <c r="V112" i="25" s="1"/>
  <c r="V186" i="25" s="1"/>
  <c r="AC111" i="25"/>
  <c r="Z111" i="25"/>
  <c r="X111" i="25"/>
  <c r="V111" i="25"/>
  <c r="AC110" i="25"/>
  <c r="Z110" i="25"/>
  <c r="X110" i="25"/>
  <c r="V110" i="25"/>
  <c r="AC109" i="25"/>
  <c r="Z109" i="25"/>
  <c r="X109" i="25"/>
  <c r="V109" i="25"/>
  <c r="AC108" i="25"/>
  <c r="Z108" i="25"/>
  <c r="X108" i="25"/>
  <c r="V108" i="25"/>
  <c r="AC107" i="25"/>
  <c r="Z107" i="25"/>
  <c r="X107" i="25"/>
  <c r="R107" i="25"/>
  <c r="J107" i="25"/>
  <c r="K107" i="25" s="1"/>
  <c r="Z106" i="25"/>
  <c r="X106" i="25"/>
  <c r="R106" i="25"/>
  <c r="J106" i="25"/>
  <c r="K106" i="25" s="1"/>
  <c r="AC105" i="25"/>
  <c r="Z105" i="25"/>
  <c r="X105" i="25"/>
  <c r="R105" i="25"/>
  <c r="V105" i="25" s="1"/>
  <c r="K105" i="25"/>
  <c r="Z104" i="25"/>
  <c r="X104" i="25"/>
  <c r="R104" i="25"/>
  <c r="V104" i="25" s="1"/>
  <c r="N104" i="25"/>
  <c r="AC104" i="25" s="1"/>
  <c r="K104" i="25"/>
  <c r="Z103" i="25"/>
  <c r="X103" i="25"/>
  <c r="R103" i="25"/>
  <c r="V103" i="25" s="1"/>
  <c r="N103" i="25"/>
  <c r="N102" i="25" s="1"/>
  <c r="AC102" i="25" s="1"/>
  <c r="K103" i="25"/>
  <c r="Z102" i="25"/>
  <c r="X102" i="25"/>
  <c r="R102" i="25"/>
  <c r="V102" i="25" s="1"/>
  <c r="K102" i="25"/>
  <c r="AC101" i="25"/>
  <c r="Z101" i="25"/>
  <c r="X101" i="25"/>
  <c r="R101" i="25"/>
  <c r="V101" i="25" s="1"/>
  <c r="K101" i="25"/>
  <c r="AC100" i="25"/>
  <c r="Z100" i="25"/>
  <c r="X100" i="25"/>
  <c r="R100" i="25"/>
  <c r="V100" i="25" s="1"/>
  <c r="K100" i="25"/>
  <c r="AC99" i="25"/>
  <c r="Z99" i="25"/>
  <c r="X99" i="25"/>
  <c r="V99" i="25"/>
  <c r="R99" i="25"/>
  <c r="K99" i="25"/>
  <c r="AC98" i="25"/>
  <c r="Z98" i="25"/>
  <c r="X98" i="25"/>
  <c r="V98" i="25"/>
  <c r="AC97" i="25"/>
  <c r="Z97" i="25"/>
  <c r="X97" i="25"/>
  <c r="V97" i="25"/>
  <c r="R97" i="25"/>
  <c r="K97" i="25"/>
  <c r="J97" i="25"/>
  <c r="E97" i="25"/>
  <c r="AC96" i="25"/>
  <c r="Z96" i="25"/>
  <c r="X96" i="25"/>
  <c r="R96" i="25"/>
  <c r="V96" i="25" s="1"/>
  <c r="J96" i="25"/>
  <c r="AC95" i="25"/>
  <c r="Z95" i="25"/>
  <c r="X95" i="25"/>
  <c r="R95" i="25"/>
  <c r="J95" i="25"/>
  <c r="K95" i="25" s="1"/>
  <c r="AC94" i="25"/>
  <c r="Z94" i="25"/>
  <c r="X94" i="25"/>
  <c r="R94" i="25"/>
  <c r="V94" i="25" s="1"/>
  <c r="K94" i="25"/>
  <c r="J94" i="25"/>
  <c r="AC93" i="25"/>
  <c r="Z93" i="25"/>
  <c r="X93" i="25"/>
  <c r="R93" i="25"/>
  <c r="V93" i="25" s="1"/>
  <c r="K93" i="25"/>
  <c r="J93" i="25"/>
  <c r="AC92" i="25"/>
  <c r="Z92" i="25"/>
  <c r="X92" i="25"/>
  <c r="R92" i="25"/>
  <c r="J92" i="25"/>
  <c r="K92" i="25" s="1"/>
  <c r="AC91" i="25"/>
  <c r="Z91" i="25"/>
  <c r="X91" i="25"/>
  <c r="R91" i="25"/>
  <c r="J91" i="25"/>
  <c r="K91" i="25" s="1"/>
  <c r="V91" i="25" s="1"/>
  <c r="AC90" i="25"/>
  <c r="Z90" i="25"/>
  <c r="X90" i="25"/>
  <c r="R90" i="25"/>
  <c r="J90" i="25"/>
  <c r="K90" i="25" s="1"/>
  <c r="AC89" i="25"/>
  <c r="AC193" i="25" s="1"/>
  <c r="G193" i="25" s="1"/>
  <c r="Z89" i="25"/>
  <c r="X89" i="25"/>
  <c r="X193" i="25" s="1"/>
  <c r="R89" i="25"/>
  <c r="V89" i="25" s="1"/>
  <c r="K89" i="25"/>
  <c r="E81" i="25"/>
  <c r="D81" i="25"/>
  <c r="H62" i="25"/>
  <c r="G62" i="25"/>
  <c r="F62" i="25"/>
  <c r="H54" i="25"/>
  <c r="G54" i="25"/>
  <c r="F54" i="25"/>
  <c r="AB185" i="10"/>
  <c r="K31" i="22" s="1"/>
  <c r="AA185" i="10"/>
  <c r="J31" i="22" s="1"/>
  <c r="Y185" i="10"/>
  <c r="W185" i="10"/>
  <c r="R129" i="10"/>
  <c r="F54" i="10"/>
  <c r="E127" i="10" s="1"/>
  <c r="G62" i="10"/>
  <c r="D176" i="10"/>
  <c r="D47" i="22" s="1"/>
  <c r="R128" i="10"/>
  <c r="V116" i="10"/>
  <c r="AB190" i="25" l="1"/>
  <c r="F190" i="25" s="1"/>
  <c r="H190" i="25" s="1"/>
  <c r="K190" i="25" s="1"/>
  <c r="AC191" i="25"/>
  <c r="G191" i="25" s="1"/>
  <c r="V128" i="10"/>
  <c r="AC126" i="10"/>
  <c r="AC128" i="10"/>
  <c r="Z128" i="10"/>
  <c r="X129" i="10"/>
  <c r="AC129" i="10"/>
  <c r="Z129" i="10"/>
  <c r="V129" i="10"/>
  <c r="AC184" i="25"/>
  <c r="G184" i="25" s="1"/>
  <c r="V184" i="25"/>
  <c r="E194" i="25"/>
  <c r="I194" i="25" s="1"/>
  <c r="L194" i="25" s="1"/>
  <c r="X182" i="26"/>
  <c r="Z182" i="26"/>
  <c r="Z185" i="26"/>
  <c r="X192" i="26"/>
  <c r="Z192" i="26"/>
  <c r="Z188" i="26"/>
  <c r="X186" i="26"/>
  <c r="Z194" i="26"/>
  <c r="J194" i="26" s="1"/>
  <c r="X188" i="26"/>
  <c r="J188" i="26" s="1"/>
  <c r="X183" i="26"/>
  <c r="J183" i="26" s="1"/>
  <c r="X194" i="26"/>
  <c r="X197" i="26"/>
  <c r="Z193" i="26"/>
  <c r="X182" i="25"/>
  <c r="Z186" i="25"/>
  <c r="X183" i="25"/>
  <c r="Z194" i="25"/>
  <c r="J194" i="25" s="1"/>
  <c r="Z197" i="25"/>
  <c r="Z183" i="25"/>
  <c r="Z193" i="25"/>
  <c r="J193" i="25" s="1"/>
  <c r="X185" i="25"/>
  <c r="J185" i="25" s="1"/>
  <c r="X192" i="25"/>
  <c r="Z184" i="25"/>
  <c r="X188" i="25"/>
  <c r="J188" i="25" s="1"/>
  <c r="Z182" i="25"/>
  <c r="Z192" i="25"/>
  <c r="J192" i="25" s="1"/>
  <c r="X197" i="25"/>
  <c r="AC128" i="26"/>
  <c r="X130" i="26"/>
  <c r="F31" i="22"/>
  <c r="V128" i="26"/>
  <c r="H31" i="22"/>
  <c r="Z184" i="26"/>
  <c r="AA190" i="26"/>
  <c r="AA178" i="26"/>
  <c r="AA180" i="26" s="1"/>
  <c r="V188" i="26"/>
  <c r="E188" i="26" s="1"/>
  <c r="I188" i="26" s="1"/>
  <c r="L188" i="26" s="1"/>
  <c r="AB190" i="26"/>
  <c r="F190" i="26" s="1"/>
  <c r="H190" i="26" s="1"/>
  <c r="K190" i="26" s="1"/>
  <c r="W160" i="26"/>
  <c r="AC191" i="26"/>
  <c r="G191" i="26" s="1"/>
  <c r="V193" i="26"/>
  <c r="E193" i="26" s="1"/>
  <c r="I193" i="26" s="1"/>
  <c r="L193" i="26" s="1"/>
  <c r="J187" i="26"/>
  <c r="AB178" i="26"/>
  <c r="AB180" i="26" s="1"/>
  <c r="F180" i="26" s="1"/>
  <c r="V106" i="26"/>
  <c r="V183" i="26" s="1"/>
  <c r="E183" i="26" s="1"/>
  <c r="I183" i="26" s="1"/>
  <c r="L183" i="26" s="1"/>
  <c r="V187" i="26"/>
  <c r="E187" i="26" s="1"/>
  <c r="I187" i="26" s="1"/>
  <c r="L187" i="26" s="1"/>
  <c r="V95" i="26"/>
  <c r="V161" i="26"/>
  <c r="W161" i="26"/>
  <c r="V93" i="26"/>
  <c r="V178" i="26" s="1"/>
  <c r="V180" i="26" s="1"/>
  <c r="AC183" i="26"/>
  <c r="G183" i="26" s="1"/>
  <c r="E194" i="26"/>
  <c r="I194" i="26" s="1"/>
  <c r="L194" i="26" s="1"/>
  <c r="V162" i="26"/>
  <c r="Z161" i="26"/>
  <c r="E185" i="26"/>
  <c r="I185" i="26" s="1"/>
  <c r="L185" i="26" s="1"/>
  <c r="E195" i="26"/>
  <c r="I195" i="26" s="1"/>
  <c r="L195" i="26" s="1"/>
  <c r="F185" i="26"/>
  <c r="H185" i="26" s="1"/>
  <c r="K185" i="26" s="1"/>
  <c r="X160" i="26"/>
  <c r="AC178" i="26"/>
  <c r="AC180" i="26" s="1"/>
  <c r="G180" i="26" s="1"/>
  <c r="G200" i="26" s="1"/>
  <c r="J185" i="26"/>
  <c r="J195" i="26"/>
  <c r="E186" i="26"/>
  <c r="I186" i="26" s="1"/>
  <c r="L186" i="26" s="1"/>
  <c r="G189" i="26"/>
  <c r="E191" i="26"/>
  <c r="I191" i="26" s="1"/>
  <c r="L191" i="26" s="1"/>
  <c r="E196" i="26"/>
  <c r="I196" i="26" s="1"/>
  <c r="L196" i="26" s="1"/>
  <c r="F191" i="26"/>
  <c r="H191" i="26" s="1"/>
  <c r="K191" i="26" s="1"/>
  <c r="F196" i="26"/>
  <c r="H196" i="26" s="1"/>
  <c r="K196" i="26" s="1"/>
  <c r="J197" i="26"/>
  <c r="E199" i="26"/>
  <c r="I199" i="26" s="1"/>
  <c r="L199" i="26" s="1"/>
  <c r="F199" i="26"/>
  <c r="H199" i="26" s="1"/>
  <c r="K199" i="26" s="1"/>
  <c r="Z160" i="26"/>
  <c r="Z190" i="26" s="1"/>
  <c r="J182" i="26"/>
  <c r="J191" i="26"/>
  <c r="F195" i="26"/>
  <c r="H195" i="26" s="1"/>
  <c r="K195" i="26" s="1"/>
  <c r="J196" i="26"/>
  <c r="J189" i="26"/>
  <c r="Z113" i="26"/>
  <c r="Z186" i="26" s="1"/>
  <c r="X117" i="26"/>
  <c r="X184" i="26" s="1"/>
  <c r="J184" i="26" s="1"/>
  <c r="Y162" i="26"/>
  <c r="Y178" i="26" s="1"/>
  <c r="Y180" i="26" s="1"/>
  <c r="E192" i="26"/>
  <c r="I192" i="26" s="1"/>
  <c r="L192" i="26" s="1"/>
  <c r="E197" i="26"/>
  <c r="I197" i="26" s="1"/>
  <c r="L197" i="26" s="1"/>
  <c r="F183" i="26"/>
  <c r="H183" i="26" s="1"/>
  <c r="K183" i="26" s="1"/>
  <c r="F188" i="26"/>
  <c r="H188" i="26" s="1"/>
  <c r="K188" i="26" s="1"/>
  <c r="F193" i="26"/>
  <c r="H193" i="26" s="1"/>
  <c r="K193" i="26" s="1"/>
  <c r="V160" i="26"/>
  <c r="V190" i="26" s="1"/>
  <c r="Z162" i="26"/>
  <c r="J193" i="26"/>
  <c r="J199" i="26"/>
  <c r="E184" i="26"/>
  <c r="I184" i="26" s="1"/>
  <c r="L184" i="26" s="1"/>
  <c r="E189" i="26"/>
  <c r="I189" i="26" s="1"/>
  <c r="L189" i="26" s="1"/>
  <c r="V106" i="25"/>
  <c r="N106" i="25"/>
  <c r="AC106" i="25" s="1"/>
  <c r="Y178" i="25"/>
  <c r="Y180" i="25" s="1"/>
  <c r="Y190" i="25"/>
  <c r="V193" i="25"/>
  <c r="E193" i="25" s="1"/>
  <c r="I193" i="25" s="1"/>
  <c r="L193" i="25" s="1"/>
  <c r="V183" i="25"/>
  <c r="E183" i="25" s="1"/>
  <c r="I183" i="25" s="1"/>
  <c r="L183" i="25" s="1"/>
  <c r="W190" i="25"/>
  <c r="W178" i="25"/>
  <c r="W180" i="25" s="1"/>
  <c r="V187" i="25"/>
  <c r="E187" i="25" s="1"/>
  <c r="I187" i="25" s="1"/>
  <c r="L187" i="25" s="1"/>
  <c r="V107" i="25"/>
  <c r="V90" i="25"/>
  <c r="AB178" i="25"/>
  <c r="AB180" i="25" s="1"/>
  <c r="F180" i="25" s="1"/>
  <c r="V95" i="25"/>
  <c r="V92" i="25"/>
  <c r="V178" i="25" s="1"/>
  <c r="V180" i="25" s="1"/>
  <c r="E180" i="25" s="1"/>
  <c r="V185" i="25"/>
  <c r="E185" i="25" s="1"/>
  <c r="I185" i="25" s="1"/>
  <c r="L185" i="25" s="1"/>
  <c r="Z160" i="25"/>
  <c r="Z190" i="25" s="1"/>
  <c r="AA160" i="25"/>
  <c r="V162" i="25"/>
  <c r="E195" i="25"/>
  <c r="I195" i="25" s="1"/>
  <c r="L195" i="25" s="1"/>
  <c r="X160" i="25"/>
  <c r="X190" i="25" s="1"/>
  <c r="J195" i="25"/>
  <c r="AC103" i="25"/>
  <c r="AC178" i="25" s="1"/>
  <c r="AC180" i="25" s="1"/>
  <c r="G180" i="25" s="1"/>
  <c r="G200" i="25" s="1"/>
  <c r="E186" i="25"/>
  <c r="I186" i="25" s="1"/>
  <c r="L186" i="25" s="1"/>
  <c r="E191" i="25"/>
  <c r="I191" i="25" s="1"/>
  <c r="L191" i="25" s="1"/>
  <c r="E196" i="25"/>
  <c r="I196" i="25" s="1"/>
  <c r="L196" i="25" s="1"/>
  <c r="AC199" i="25"/>
  <c r="G199" i="25" s="1"/>
  <c r="F186" i="25"/>
  <c r="H186" i="25" s="1"/>
  <c r="K186" i="25" s="1"/>
  <c r="F191" i="25"/>
  <c r="H191" i="25" s="1"/>
  <c r="K191" i="25" s="1"/>
  <c r="F196" i="25"/>
  <c r="H196" i="25" s="1"/>
  <c r="K196" i="25" s="1"/>
  <c r="G196" i="25"/>
  <c r="E199" i="25"/>
  <c r="I199" i="25" s="1"/>
  <c r="L199" i="25" s="1"/>
  <c r="F193" i="25"/>
  <c r="H193" i="25" s="1"/>
  <c r="K193" i="25" s="1"/>
  <c r="F199" i="25"/>
  <c r="H199" i="25" s="1"/>
  <c r="K199" i="25" s="1"/>
  <c r="J187" i="25"/>
  <c r="E188" i="25"/>
  <c r="I188" i="25" s="1"/>
  <c r="L188" i="25" s="1"/>
  <c r="J191" i="25"/>
  <c r="F183" i="25"/>
  <c r="H183" i="25" s="1"/>
  <c r="K183" i="25" s="1"/>
  <c r="J189" i="25"/>
  <c r="X113" i="25"/>
  <c r="X186" i="25" s="1"/>
  <c r="F188" i="25"/>
  <c r="H188" i="25" s="1"/>
  <c r="K188" i="25" s="1"/>
  <c r="X117" i="25"/>
  <c r="X184" i="25" s="1"/>
  <c r="F195" i="25"/>
  <c r="H195" i="25" s="1"/>
  <c r="K195" i="25" s="1"/>
  <c r="E197" i="25"/>
  <c r="I197" i="25" s="1"/>
  <c r="L197" i="25" s="1"/>
  <c r="V160" i="25"/>
  <c r="V190" i="25" s="1"/>
  <c r="J199" i="25"/>
  <c r="Z161" i="25"/>
  <c r="F185" i="25"/>
  <c r="H185" i="25" s="1"/>
  <c r="K185" i="25" s="1"/>
  <c r="J196" i="25"/>
  <c r="E192" i="25"/>
  <c r="I192" i="25" s="1"/>
  <c r="L192" i="25" s="1"/>
  <c r="E184" i="25"/>
  <c r="I184" i="25" s="1"/>
  <c r="L184" i="25" s="1"/>
  <c r="E189" i="25"/>
  <c r="I189" i="25" s="1"/>
  <c r="L189" i="25" s="1"/>
  <c r="Z126" i="10"/>
  <c r="X126" i="10"/>
  <c r="X185" i="10" s="1"/>
  <c r="G31" i="22" s="1"/>
  <c r="R126" i="10"/>
  <c r="V126" i="10" s="1"/>
  <c r="R127" i="10"/>
  <c r="X103" i="10"/>
  <c r="X90" i="10"/>
  <c r="U155" i="10"/>
  <c r="E95" i="10"/>
  <c r="R87" i="10"/>
  <c r="J184" i="25" l="1"/>
  <c r="Z178" i="26"/>
  <c r="Z180" i="26" s="1"/>
  <c r="Y190" i="26"/>
  <c r="J192" i="26"/>
  <c r="J186" i="26"/>
  <c r="J183" i="25"/>
  <c r="Z178" i="25"/>
  <c r="Z180" i="25" s="1"/>
  <c r="E190" i="25"/>
  <c r="I190" i="25" s="1"/>
  <c r="L190" i="25" s="1"/>
  <c r="X178" i="25"/>
  <c r="X180" i="25" s="1"/>
  <c r="J182" i="25"/>
  <c r="J197" i="25"/>
  <c r="J186" i="25"/>
  <c r="X178" i="26"/>
  <c r="X180" i="26" s="1"/>
  <c r="J180" i="26" s="1"/>
  <c r="J200" i="26" s="1"/>
  <c r="Z185" i="10"/>
  <c r="I31" i="22" s="1"/>
  <c r="E31" i="22"/>
  <c r="W178" i="26"/>
  <c r="W180" i="26" s="1"/>
  <c r="E180" i="26" s="1"/>
  <c r="W190" i="26"/>
  <c r="E190" i="26" s="1"/>
  <c r="I190" i="26" s="1"/>
  <c r="L190" i="26" s="1"/>
  <c r="X190" i="26"/>
  <c r="J190" i="26" s="1"/>
  <c r="V182" i="26"/>
  <c r="E182" i="26" s="1"/>
  <c r="I182" i="26" s="1"/>
  <c r="L182" i="26" s="1"/>
  <c r="H180" i="26"/>
  <c r="F200" i="26"/>
  <c r="E200" i="25"/>
  <c r="I180" i="25"/>
  <c r="V182" i="25"/>
  <c r="E182" i="25" s="1"/>
  <c r="I182" i="25" s="1"/>
  <c r="L182" i="25" s="1"/>
  <c r="AC183" i="25"/>
  <c r="G183" i="25" s="1"/>
  <c r="H180" i="25"/>
  <c r="F200" i="25"/>
  <c r="AA190" i="25"/>
  <c r="J190" i="25" s="1"/>
  <c r="AA178" i="25"/>
  <c r="AA180" i="25" s="1"/>
  <c r="AC185" i="10"/>
  <c r="L31" i="22" s="1"/>
  <c r="Z171" i="10"/>
  <c r="Z170" i="10"/>
  <c r="Z169" i="10"/>
  <c r="Z168" i="10"/>
  <c r="Z167" i="10"/>
  <c r="Z166" i="10"/>
  <c r="Z165" i="10"/>
  <c r="Z164" i="10"/>
  <c r="Z163" i="10"/>
  <c r="Z162" i="10"/>
  <c r="Z161" i="10"/>
  <c r="Z157" i="10"/>
  <c r="Z156" i="10"/>
  <c r="Z155" i="10"/>
  <c r="Z154" i="10"/>
  <c r="Z153" i="10"/>
  <c r="Z152" i="10"/>
  <c r="Z151" i="10"/>
  <c r="Z150" i="10"/>
  <c r="Z149" i="10"/>
  <c r="Z148" i="10"/>
  <c r="Z147" i="10"/>
  <c r="Z146" i="10"/>
  <c r="Z145" i="10"/>
  <c r="Z144" i="10"/>
  <c r="Z143" i="10"/>
  <c r="Z142" i="10"/>
  <c r="Z141" i="10"/>
  <c r="Z140" i="10"/>
  <c r="Z139" i="10"/>
  <c r="Z138" i="10"/>
  <c r="Z137" i="10"/>
  <c r="Z136" i="10"/>
  <c r="Z135" i="10"/>
  <c r="Z134" i="10"/>
  <c r="Z133" i="10"/>
  <c r="Z132" i="10"/>
  <c r="Z131" i="10"/>
  <c r="Z130" i="10"/>
  <c r="Z125" i="10"/>
  <c r="Z124" i="10"/>
  <c r="Z123" i="10"/>
  <c r="Z122" i="10"/>
  <c r="Z121" i="10"/>
  <c r="Z120" i="10"/>
  <c r="Z119" i="10"/>
  <c r="Z118" i="10"/>
  <c r="Z117" i="10"/>
  <c r="Z116" i="10"/>
  <c r="Z113" i="10"/>
  <c r="Z112" i="10"/>
  <c r="Z110" i="10"/>
  <c r="Z109" i="10"/>
  <c r="Z108" i="10"/>
  <c r="Z107" i="10"/>
  <c r="Z106" i="10"/>
  <c r="Z105" i="10"/>
  <c r="Z104" i="10"/>
  <c r="Z103" i="10"/>
  <c r="Z102" i="10"/>
  <c r="Z101" i="10"/>
  <c r="Z100" i="10"/>
  <c r="Z99" i="10"/>
  <c r="Z98" i="10"/>
  <c r="Z97" i="10"/>
  <c r="Z96" i="10"/>
  <c r="Z94" i="10"/>
  <c r="Z93" i="10"/>
  <c r="Z92" i="10"/>
  <c r="Z91" i="10"/>
  <c r="Z90" i="10"/>
  <c r="Z89" i="10"/>
  <c r="Z88" i="10"/>
  <c r="Z87" i="10"/>
  <c r="X171" i="10"/>
  <c r="X170" i="10"/>
  <c r="X169" i="10"/>
  <c r="X168" i="10"/>
  <c r="X167" i="10"/>
  <c r="X166" i="10"/>
  <c r="X165" i="10"/>
  <c r="X164" i="10"/>
  <c r="X163" i="10"/>
  <c r="X162" i="10"/>
  <c r="X161" i="10"/>
  <c r="X157" i="10"/>
  <c r="X156" i="10"/>
  <c r="X155" i="10"/>
  <c r="X154" i="10"/>
  <c r="X153" i="10"/>
  <c r="X152" i="10"/>
  <c r="X151" i="10"/>
  <c r="X150" i="10"/>
  <c r="X149" i="10"/>
  <c r="X148" i="10"/>
  <c r="X147" i="10"/>
  <c r="X146" i="10"/>
  <c r="X145" i="10"/>
  <c r="X144" i="10"/>
  <c r="X143" i="10"/>
  <c r="X142" i="10"/>
  <c r="X141" i="10"/>
  <c r="X140" i="10"/>
  <c r="X139" i="10"/>
  <c r="X138" i="10"/>
  <c r="X137" i="10"/>
  <c r="X136" i="10"/>
  <c r="X135" i="10"/>
  <c r="X134" i="10"/>
  <c r="X133" i="10"/>
  <c r="X132" i="10"/>
  <c r="X131" i="10"/>
  <c r="X130" i="10"/>
  <c r="X125" i="10"/>
  <c r="X124" i="10"/>
  <c r="X123" i="10"/>
  <c r="X122" i="10"/>
  <c r="X121" i="10"/>
  <c r="X120" i="10"/>
  <c r="X119" i="10"/>
  <c r="X118" i="10"/>
  <c r="X117" i="10"/>
  <c r="X116" i="10"/>
  <c r="X113" i="10"/>
  <c r="X112" i="10"/>
  <c r="X110" i="10"/>
  <c r="X109" i="10"/>
  <c r="X108" i="10"/>
  <c r="X107" i="10"/>
  <c r="X106" i="10"/>
  <c r="X105" i="10"/>
  <c r="X104" i="10"/>
  <c r="X102" i="10"/>
  <c r="X101" i="10"/>
  <c r="X100" i="10"/>
  <c r="X99" i="10"/>
  <c r="X98" i="10"/>
  <c r="X97" i="10"/>
  <c r="X96" i="10"/>
  <c r="X94" i="10"/>
  <c r="X93" i="10"/>
  <c r="X92" i="10"/>
  <c r="X91" i="10"/>
  <c r="X89" i="10"/>
  <c r="X88" i="10"/>
  <c r="X87" i="10"/>
  <c r="E160" i="10"/>
  <c r="X160" i="10" s="1"/>
  <c r="E159" i="10"/>
  <c r="X159" i="10" s="1"/>
  <c r="E158" i="10"/>
  <c r="AA158" i="10" s="1"/>
  <c r="E115" i="10"/>
  <c r="X115" i="10" s="1"/>
  <c r="E114" i="10"/>
  <c r="X114" i="10" s="1"/>
  <c r="E111" i="10"/>
  <c r="X111" i="10" s="1"/>
  <c r="Z95" i="10"/>
  <c r="J180" i="25" l="1"/>
  <c r="J200" i="25" s="1"/>
  <c r="E200" i="26"/>
  <c r="I180" i="26"/>
  <c r="K180" i="26"/>
  <c r="K200" i="26" s="1"/>
  <c r="H200" i="26"/>
  <c r="K180" i="25"/>
  <c r="K200" i="25" s="1"/>
  <c r="H200" i="25"/>
  <c r="I200" i="25"/>
  <c r="L180" i="25"/>
  <c r="L200" i="25" s="1"/>
  <c r="Z114" i="10"/>
  <c r="Z115" i="10"/>
  <c r="AA159" i="10"/>
  <c r="X95" i="10"/>
  <c r="Z111" i="10"/>
  <c r="AA160" i="10"/>
  <c r="Y160" i="10"/>
  <c r="X158" i="10"/>
  <c r="Y158" i="10"/>
  <c r="Z158" i="10"/>
  <c r="Z159" i="10"/>
  <c r="Y159" i="10"/>
  <c r="Z160" i="10"/>
  <c r="H54" i="10"/>
  <c r="G127" i="10" s="1"/>
  <c r="G54" i="10"/>
  <c r="F127" i="10" s="1"/>
  <c r="W191" i="10"/>
  <c r="F37" i="22" s="1"/>
  <c r="Y191" i="10"/>
  <c r="H37" i="22" s="1"/>
  <c r="AA191" i="10"/>
  <c r="J37" i="22" s="1"/>
  <c r="AB191" i="10"/>
  <c r="K37" i="22" s="1"/>
  <c r="W192" i="10"/>
  <c r="F38" i="22" s="1"/>
  <c r="Y192" i="10"/>
  <c r="H38" i="22" s="1"/>
  <c r="AA192" i="10"/>
  <c r="J38" i="22" s="1"/>
  <c r="AB192" i="10"/>
  <c r="K38" i="22" s="1"/>
  <c r="W193" i="10"/>
  <c r="F39" i="22" s="1"/>
  <c r="Y193" i="10"/>
  <c r="H39" i="22" s="1"/>
  <c r="AA193" i="10"/>
  <c r="J39" i="22" s="1"/>
  <c r="AB193" i="10"/>
  <c r="K39" i="22" s="1"/>
  <c r="W194" i="10"/>
  <c r="F40" i="22" s="1"/>
  <c r="Y194" i="10"/>
  <c r="H40" i="22" s="1"/>
  <c r="AA194" i="10"/>
  <c r="J40" i="22" s="1"/>
  <c r="AB194" i="10"/>
  <c r="K40" i="22" s="1"/>
  <c r="W195" i="10"/>
  <c r="F41" i="22" s="1"/>
  <c r="Y195" i="10"/>
  <c r="H41" i="22" s="1"/>
  <c r="AA195" i="10"/>
  <c r="J41" i="22" s="1"/>
  <c r="AB195" i="10"/>
  <c r="K41" i="22" s="1"/>
  <c r="W181" i="10"/>
  <c r="F27" i="22" s="1"/>
  <c r="Y181" i="10"/>
  <c r="H27" i="22" s="1"/>
  <c r="AA181" i="10"/>
  <c r="J27" i="22" s="1"/>
  <c r="AB181" i="10"/>
  <c r="K27" i="22" s="1"/>
  <c r="W182" i="10"/>
  <c r="F28" i="22" s="1"/>
  <c r="Y182" i="10"/>
  <c r="H28" i="22" s="1"/>
  <c r="AA182" i="10"/>
  <c r="J28" i="22" s="1"/>
  <c r="AB182" i="10"/>
  <c r="K28" i="22" s="1"/>
  <c r="W183" i="10"/>
  <c r="F29" i="22" s="1"/>
  <c r="Y183" i="10"/>
  <c r="H29" i="22" s="1"/>
  <c r="AA183" i="10"/>
  <c r="J29" i="22" s="1"/>
  <c r="AB183" i="10"/>
  <c r="K29" i="22" s="1"/>
  <c r="W184" i="10"/>
  <c r="F30" i="22" s="1"/>
  <c r="Y184" i="10"/>
  <c r="H30" i="22" s="1"/>
  <c r="AA184" i="10"/>
  <c r="J30" i="22" s="1"/>
  <c r="AB184" i="10"/>
  <c r="K30" i="22" s="1"/>
  <c r="W186" i="10"/>
  <c r="F32" i="22" s="1"/>
  <c r="Y186" i="10"/>
  <c r="H32" i="22" s="1"/>
  <c r="AA186" i="10"/>
  <c r="J32" i="22" s="1"/>
  <c r="AB186" i="10"/>
  <c r="K32" i="22" s="1"/>
  <c r="W187" i="10"/>
  <c r="F33" i="22" s="1"/>
  <c r="Y187" i="10"/>
  <c r="H33" i="22" s="1"/>
  <c r="AA187" i="10"/>
  <c r="J33" i="22" s="1"/>
  <c r="AC187" i="10"/>
  <c r="L33" i="22" s="1"/>
  <c r="AC188" i="10"/>
  <c r="L34" i="22" s="1"/>
  <c r="W189" i="10"/>
  <c r="F35" i="22" s="1"/>
  <c r="Y189" i="10"/>
  <c r="H35" i="22" s="1"/>
  <c r="AA189" i="10"/>
  <c r="J35" i="22" s="1"/>
  <c r="AB189" i="10"/>
  <c r="K35" i="22" s="1"/>
  <c r="W190" i="10"/>
  <c r="F36" i="22" s="1"/>
  <c r="Y190" i="10"/>
  <c r="H36" i="22" s="1"/>
  <c r="AA190" i="10"/>
  <c r="J36" i="22" s="1"/>
  <c r="AB190" i="10"/>
  <c r="K36" i="22" s="1"/>
  <c r="AA180" i="10"/>
  <c r="J26" i="22" s="1"/>
  <c r="Y180" i="10"/>
  <c r="H26" i="22" s="1"/>
  <c r="W180" i="10"/>
  <c r="F26" i="22" s="1"/>
  <c r="AB180" i="10"/>
  <c r="K26" i="22" s="1"/>
  <c r="AB153" i="10"/>
  <c r="AB187" i="10" s="1"/>
  <c r="K33" i="22" s="1"/>
  <c r="AC127" i="10" l="1"/>
  <c r="Z127" i="10"/>
  <c r="X127" i="10"/>
  <c r="X176" i="10" s="1"/>
  <c r="V127" i="10"/>
  <c r="L180" i="26"/>
  <c r="L200" i="26" s="1"/>
  <c r="I200" i="26"/>
  <c r="E197" i="10"/>
  <c r="E68" i="22" s="1"/>
  <c r="E185" i="10"/>
  <c r="G185" i="10"/>
  <c r="G56" i="22" s="1"/>
  <c r="F185" i="10"/>
  <c r="J185" i="10"/>
  <c r="J56" i="22" s="1"/>
  <c r="N52" i="17"/>
  <c r="N53" i="17"/>
  <c r="N11" i="17"/>
  <c r="X178" i="10" l="1"/>
  <c r="G24" i="22" s="1"/>
  <c r="G22" i="22"/>
  <c r="I185" i="10"/>
  <c r="E56" i="22"/>
  <c r="F56" i="22"/>
  <c r="K12" i="17"/>
  <c r="K13" i="17"/>
  <c r="N13" i="17" s="1"/>
  <c r="K14" i="17"/>
  <c r="K15" i="17"/>
  <c r="N15" i="17" s="1"/>
  <c r="K16" i="17"/>
  <c r="N16" i="17" s="1"/>
  <c r="K17" i="17"/>
  <c r="N17" i="17" s="1"/>
  <c r="K18" i="17"/>
  <c r="K19" i="17"/>
  <c r="K28" i="17"/>
  <c r="N28" i="17" s="1"/>
  <c r="W28" i="17" s="1"/>
  <c r="K29" i="17"/>
  <c r="N29" i="17" s="1"/>
  <c r="K34" i="17"/>
  <c r="N34" i="17" s="1"/>
  <c r="K36" i="17"/>
  <c r="N36" i="17" s="1"/>
  <c r="K78" i="17"/>
  <c r="K79" i="17"/>
  <c r="N79" i="17" s="1"/>
  <c r="K80" i="17"/>
  <c r="N80" i="17" s="1"/>
  <c r="K82" i="17"/>
  <c r="K83" i="17"/>
  <c r="N91" i="17"/>
  <c r="N90" i="17"/>
  <c r="W83" i="17"/>
  <c r="W81" i="17"/>
  <c r="W80" i="17"/>
  <c r="W79" i="17"/>
  <c r="W78" i="17"/>
  <c r="N78" i="17"/>
  <c r="W77" i="17"/>
  <c r="W76" i="17"/>
  <c r="W75" i="17"/>
  <c r="W74" i="17"/>
  <c r="N59" i="17"/>
  <c r="N58" i="17"/>
  <c r="N57" i="17"/>
  <c r="N56" i="17"/>
  <c r="N55" i="17"/>
  <c r="N54" i="17"/>
  <c r="W53" i="17"/>
  <c r="W52" i="17"/>
  <c r="W51" i="17"/>
  <c r="N51" i="17"/>
  <c r="N50" i="17"/>
  <c r="N49" i="17"/>
  <c r="N48" i="17"/>
  <c r="N47" i="17"/>
  <c r="N45" i="17"/>
  <c r="N44" i="17"/>
  <c r="N43" i="17"/>
  <c r="N42" i="17"/>
  <c r="N41" i="17"/>
  <c r="N40" i="17"/>
  <c r="N27" i="17"/>
  <c r="W26" i="17"/>
  <c r="N26" i="17"/>
  <c r="W25" i="17"/>
  <c r="N25" i="17"/>
  <c r="N24" i="17"/>
  <c r="N23" i="17"/>
  <c r="N22" i="17"/>
  <c r="N21" i="17"/>
  <c r="N19" i="17"/>
  <c r="N14" i="17"/>
  <c r="N12" i="17"/>
  <c r="R95" i="10"/>
  <c r="R94" i="10"/>
  <c r="K138" i="10"/>
  <c r="R140" i="10"/>
  <c r="R141" i="10"/>
  <c r="R142" i="10"/>
  <c r="R143" i="10"/>
  <c r="R144" i="10"/>
  <c r="R145" i="10"/>
  <c r="R146" i="10"/>
  <c r="R147" i="10"/>
  <c r="R148" i="10"/>
  <c r="R149" i="10"/>
  <c r="R150" i="10"/>
  <c r="R151" i="10"/>
  <c r="R152" i="10"/>
  <c r="J94" i="10"/>
  <c r="L185" i="10" l="1"/>
  <c r="L56" i="22" s="1"/>
  <c r="I56" i="22"/>
  <c r="V152" i="10"/>
  <c r="AC152" i="10"/>
  <c r="AC94" i="10"/>
  <c r="V94" i="10"/>
  <c r="V150" i="10"/>
  <c r="AC150" i="10"/>
  <c r="V149" i="10"/>
  <c r="AC149" i="10"/>
  <c r="V143" i="10"/>
  <c r="AC143" i="10"/>
  <c r="V145" i="10"/>
  <c r="AC145" i="10"/>
  <c r="AC151" i="10"/>
  <c r="V151" i="10"/>
  <c r="V142" i="10"/>
  <c r="AC142" i="10"/>
  <c r="V141" i="10"/>
  <c r="AC141" i="10"/>
  <c r="V146" i="10"/>
  <c r="AC146" i="10"/>
  <c r="AC147" i="10"/>
  <c r="V147" i="10"/>
  <c r="AC144" i="10"/>
  <c r="V144" i="10"/>
  <c r="V140" i="10"/>
  <c r="AC140" i="10"/>
  <c r="V148" i="10"/>
  <c r="AC148" i="10"/>
  <c r="W24" i="17"/>
  <c r="AC169" i="10"/>
  <c r="R117" i="10"/>
  <c r="R92" i="10"/>
  <c r="N101" i="10"/>
  <c r="K100" i="10"/>
  <c r="K101" i="10"/>
  <c r="N102" i="10"/>
  <c r="J104" i="10"/>
  <c r="K104" i="10" s="1"/>
  <c r="N104" i="10" s="1"/>
  <c r="K87" i="10"/>
  <c r="R88" i="10"/>
  <c r="J88" i="10"/>
  <c r="K88" i="10" s="1"/>
  <c r="R89" i="10"/>
  <c r="J89" i="10"/>
  <c r="K89" i="10" s="1"/>
  <c r="R90" i="10"/>
  <c r="J90" i="10"/>
  <c r="K90" i="10" s="1"/>
  <c r="R91" i="10"/>
  <c r="J91" i="10"/>
  <c r="K91" i="10" s="1"/>
  <c r="J92" i="10"/>
  <c r="K92" i="10" s="1"/>
  <c r="R93" i="10"/>
  <c r="J93" i="10"/>
  <c r="K93" i="10" s="1"/>
  <c r="J95" i="10"/>
  <c r="K95" i="10" s="1"/>
  <c r="R97" i="10"/>
  <c r="K97" i="10"/>
  <c r="R98" i="10"/>
  <c r="K98" i="10"/>
  <c r="R99" i="10"/>
  <c r="K99" i="10"/>
  <c r="R100" i="10"/>
  <c r="R101" i="10"/>
  <c r="R102" i="10"/>
  <c r="K102" i="10"/>
  <c r="R103" i="10"/>
  <c r="K103" i="10"/>
  <c r="R104" i="10"/>
  <c r="R105" i="10"/>
  <c r="J105" i="10"/>
  <c r="K105" i="10" s="1"/>
  <c r="V108" i="10"/>
  <c r="R110" i="10"/>
  <c r="J110" i="10"/>
  <c r="K110" i="10" s="1"/>
  <c r="R112" i="10"/>
  <c r="J112" i="10"/>
  <c r="K112" i="10" s="1"/>
  <c r="AC115" i="10"/>
  <c r="K117" i="10"/>
  <c r="R118" i="10"/>
  <c r="R119" i="10"/>
  <c r="K119" i="10"/>
  <c r="R120" i="10"/>
  <c r="K120" i="10"/>
  <c r="R121" i="10"/>
  <c r="K121" i="10"/>
  <c r="R123" i="10"/>
  <c r="AC123" i="10"/>
  <c r="R124" i="10"/>
  <c r="R125" i="10"/>
  <c r="R130" i="10"/>
  <c r="K130" i="10"/>
  <c r="R131" i="10"/>
  <c r="K131" i="10"/>
  <c r="R132" i="10"/>
  <c r="K132" i="10"/>
  <c r="R133" i="10"/>
  <c r="K133" i="10"/>
  <c r="R134" i="10"/>
  <c r="K134" i="10"/>
  <c r="R135" i="10"/>
  <c r="K135" i="10"/>
  <c r="R136" i="10"/>
  <c r="K136" i="10"/>
  <c r="R137" i="10"/>
  <c r="K137" i="10"/>
  <c r="R138" i="10"/>
  <c r="R139" i="10"/>
  <c r="K139" i="10"/>
  <c r="R158" i="10"/>
  <c r="J158" i="10"/>
  <c r="K158" i="10" s="1"/>
  <c r="R159" i="10"/>
  <c r="J159" i="10"/>
  <c r="K159" i="10" s="1"/>
  <c r="R160" i="10"/>
  <c r="J160" i="10"/>
  <c r="K160" i="10" s="1"/>
  <c r="X194" i="10"/>
  <c r="G40" i="22" s="1"/>
  <c r="K170" i="10"/>
  <c r="K171" i="10"/>
  <c r="N155" i="10"/>
  <c r="N156" i="10"/>
  <c r="N157" i="10"/>
  <c r="N163" i="10"/>
  <c r="N131" i="10"/>
  <c r="N132" i="10"/>
  <c r="N133" i="10"/>
  <c r="AC155" i="10"/>
  <c r="U156" i="10"/>
  <c r="AC156" i="10" s="1"/>
  <c r="U157" i="10"/>
  <c r="AC157" i="10" s="1"/>
  <c r="U161" i="10"/>
  <c r="AB161" i="10" s="1"/>
  <c r="N161" i="10"/>
  <c r="N154" i="10"/>
  <c r="N158" i="10"/>
  <c r="N159" i="10"/>
  <c r="N160" i="10"/>
  <c r="K11" i="8"/>
  <c r="U154" i="10"/>
  <c r="AB154" i="10" s="1"/>
  <c r="U158" i="10"/>
  <c r="AB158" i="10" s="1"/>
  <c r="U159" i="10"/>
  <c r="AB159" i="10" s="1"/>
  <c r="U160" i="10"/>
  <c r="AB160" i="10" s="1"/>
  <c r="J12" i="8"/>
  <c r="J13" i="8"/>
  <c r="J14" i="8"/>
  <c r="J15" i="8"/>
  <c r="J16" i="8"/>
  <c r="J17" i="8"/>
  <c r="J18" i="8"/>
  <c r="J19" i="8"/>
  <c r="J11" i="8"/>
  <c r="K8" i="8"/>
  <c r="J8" i="8"/>
  <c r="J5" i="8"/>
  <c r="K5" i="8"/>
  <c r="J6" i="8"/>
  <c r="K6" i="8"/>
  <c r="K4" i="8"/>
  <c r="J4" i="8"/>
  <c r="K116" i="10"/>
  <c r="J163" i="10"/>
  <c r="J162" i="10"/>
  <c r="E48" i="8"/>
  <c r="E6" i="8"/>
  <c r="F23" i="8"/>
  <c r="F24" i="8"/>
  <c r="E11" i="8"/>
  <c r="E12" i="8"/>
  <c r="E13" i="8"/>
  <c r="E14" i="8"/>
  <c r="E15"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E5" i="8"/>
  <c r="F5" i="8"/>
  <c r="F6" i="8"/>
  <c r="E7" i="8"/>
  <c r="F7" i="8"/>
  <c r="E8" i="8"/>
  <c r="F8" i="8"/>
  <c r="E9" i="8"/>
  <c r="F9" i="8"/>
  <c r="E10" i="8"/>
  <c r="F10" i="8"/>
  <c r="F11" i="8"/>
  <c r="F12" i="8"/>
  <c r="F13" i="8"/>
  <c r="F14" i="8"/>
  <c r="F15" i="8"/>
  <c r="F16" i="8"/>
  <c r="F17" i="8"/>
  <c r="F18" i="8"/>
  <c r="F19" i="8"/>
  <c r="F20" i="8"/>
  <c r="F21" i="8"/>
  <c r="F22"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9" i="8"/>
  <c r="E50" i="8"/>
  <c r="E51" i="8"/>
  <c r="E52" i="8"/>
  <c r="E53" i="8"/>
  <c r="E54" i="8"/>
  <c r="E55" i="8"/>
  <c r="V164" i="10"/>
  <c r="V106" i="10"/>
  <c r="AC117" i="10"/>
  <c r="V113" i="10"/>
  <c r="V109" i="10"/>
  <c r="V96" i="10"/>
  <c r="AC130" i="10"/>
  <c r="V111" i="10"/>
  <c r="AC111" i="10"/>
  <c r="AC89" i="10"/>
  <c r="V161" i="10"/>
  <c r="AC136" i="10"/>
  <c r="AC96" i="10"/>
  <c r="AC107" i="10"/>
  <c r="V125" i="10" l="1"/>
  <c r="AB188" i="10"/>
  <c r="K34" i="22" s="1"/>
  <c r="AC189" i="10"/>
  <c r="L35" i="22" s="1"/>
  <c r="AC194" i="10"/>
  <c r="L40" i="22" s="1"/>
  <c r="AB176" i="10"/>
  <c r="V139" i="10"/>
  <c r="V87" i="10"/>
  <c r="AC163" i="10"/>
  <c r="K15" i="8"/>
  <c r="M15" i="8" s="1"/>
  <c r="V92" i="10"/>
  <c r="V158" i="10"/>
  <c r="AC116" i="10"/>
  <c r="K12" i="8"/>
  <c r="L12" i="8" s="1"/>
  <c r="V133" i="10"/>
  <c r="V120" i="10"/>
  <c r="AC118" i="10"/>
  <c r="AC93" i="10"/>
  <c r="AC139" i="10"/>
  <c r="AC104" i="10"/>
  <c r="AC87" i="10"/>
  <c r="V130" i="10"/>
  <c r="AC119" i="10"/>
  <c r="K16" i="8"/>
  <c r="L16" i="8" s="1"/>
  <c r="AC167" i="10"/>
  <c r="V167" i="10"/>
  <c r="V160" i="10"/>
  <c r="L11" i="8"/>
  <c r="Z187" i="10"/>
  <c r="I33" i="22" s="1"/>
  <c r="V115" i="10"/>
  <c r="AC91" i="10"/>
  <c r="AC97" i="10"/>
  <c r="X187" i="10"/>
  <c r="G33" i="22" s="1"/>
  <c r="AC170" i="10"/>
  <c r="V100" i="10"/>
  <c r="AC110" i="10"/>
  <c r="X195" i="10"/>
  <c r="G41" i="22" s="1"/>
  <c r="AC166" i="10"/>
  <c r="V136" i="10"/>
  <c r="AC171" i="10"/>
  <c r="V102" i="10"/>
  <c r="V101" i="10"/>
  <c r="V165" i="10"/>
  <c r="AC165" i="10"/>
  <c r="AC138" i="10"/>
  <c r="V105" i="10"/>
  <c r="V170" i="10"/>
  <c r="AC109" i="10"/>
  <c r="V123" i="10"/>
  <c r="K13" i="8"/>
  <c r="M13" i="8" s="1"/>
  <c r="V155" i="10"/>
  <c r="V132" i="10"/>
  <c r="AC112" i="10"/>
  <c r="V104" i="10"/>
  <c r="V171" i="10"/>
  <c r="W159" i="10"/>
  <c r="AC114" i="10"/>
  <c r="AC182" i="10" s="1"/>
  <c r="AC98" i="10"/>
  <c r="W160" i="10"/>
  <c r="AC101" i="10"/>
  <c r="V88" i="10"/>
  <c r="V159" i="10"/>
  <c r="AC120" i="10"/>
  <c r="V153" i="10"/>
  <c r="V187" i="10" s="1"/>
  <c r="V107" i="10"/>
  <c r="K18" i="8"/>
  <c r="L18" i="8" s="1"/>
  <c r="W158" i="10"/>
  <c r="V97" i="10"/>
  <c r="V98" i="10"/>
  <c r="AC108" i="10"/>
  <c r="K17" i="8"/>
  <c r="L17" i="8" s="1"/>
  <c r="N100" i="10"/>
  <c r="V112" i="10"/>
  <c r="V114" i="10"/>
  <c r="V154" i="10"/>
  <c r="AC137" i="10"/>
  <c r="V134" i="10"/>
  <c r="AC134" i="10"/>
  <c r="AC131" i="10"/>
  <c r="V131" i="10"/>
  <c r="AC124" i="10"/>
  <c r="V169" i="10"/>
  <c r="Z194" i="10"/>
  <c r="AC90" i="10"/>
  <c r="V90" i="10"/>
  <c r="V163" i="10"/>
  <c r="AC105" i="10"/>
  <c r="V99" i="10"/>
  <c r="AC95" i="10"/>
  <c r="V137" i="10"/>
  <c r="N11" i="8"/>
  <c r="Z193" i="10"/>
  <c r="I39" i="22" s="1"/>
  <c r="X193" i="10"/>
  <c r="G39" i="22" s="1"/>
  <c r="V168" i="10"/>
  <c r="AC168" i="10"/>
  <c r="K19" i="8"/>
  <c r="V124" i="10"/>
  <c r="AC135" i="10"/>
  <c r="V135" i="10"/>
  <c r="V119" i="10"/>
  <c r="V162" i="10"/>
  <c r="X191" i="10"/>
  <c r="G37" i="22" s="1"/>
  <c r="V156" i="10"/>
  <c r="V138" i="10"/>
  <c r="AC132" i="10"/>
  <c r="AC125" i="10"/>
  <c r="V122" i="10"/>
  <c r="AC122" i="10"/>
  <c r="V91" i="10"/>
  <c r="AC102" i="10"/>
  <c r="AC162" i="10"/>
  <c r="AC88" i="10"/>
  <c r="AC164" i="10"/>
  <c r="V110" i="10"/>
  <c r="V95" i="10"/>
  <c r="V117" i="10"/>
  <c r="V118" i="10"/>
  <c r="AC133" i="10"/>
  <c r="AC103" i="10"/>
  <c r="V93" i="10"/>
  <c r="AC121" i="10"/>
  <c r="V157" i="10"/>
  <c r="V103" i="10"/>
  <c r="AC99" i="10"/>
  <c r="AC92" i="10"/>
  <c r="AC113" i="10"/>
  <c r="V121" i="10"/>
  <c r="AC106" i="10"/>
  <c r="K14" i="8"/>
  <c r="V166" i="10"/>
  <c r="V89" i="10"/>
  <c r="V184" i="10" l="1"/>
  <c r="E30" i="22" s="1"/>
  <c r="AC197" i="10"/>
  <c r="L43" i="22" s="1"/>
  <c r="AB178" i="10"/>
  <c r="K22" i="22"/>
  <c r="G182" i="10"/>
  <c r="G53" i="22" s="1"/>
  <c r="L28" i="22"/>
  <c r="E187" i="10"/>
  <c r="E58" i="22" s="1"/>
  <c r="E33" i="22"/>
  <c r="J194" i="10"/>
  <c r="J65" i="22" s="1"/>
  <c r="I40" i="22"/>
  <c r="V176" i="10"/>
  <c r="W176" i="10"/>
  <c r="V182" i="10"/>
  <c r="G197" i="10"/>
  <c r="G68" i="22" s="1"/>
  <c r="V180" i="10"/>
  <c r="E26" i="22" s="1"/>
  <c r="O15" i="8"/>
  <c r="G194" i="10"/>
  <c r="G65" i="22" s="1"/>
  <c r="F188" i="10"/>
  <c r="F59" i="22" s="1"/>
  <c r="J193" i="10"/>
  <c r="J64" i="22" s="1"/>
  <c r="F197" i="10"/>
  <c r="F68" i="22" s="1"/>
  <c r="J197" i="10"/>
  <c r="J68" i="22" s="1"/>
  <c r="G189" i="10"/>
  <c r="G60" i="22" s="1"/>
  <c r="J187" i="10"/>
  <c r="J58" i="22" s="1"/>
  <c r="F181" i="10"/>
  <c r="F52" i="22" s="1"/>
  <c r="F195" i="10"/>
  <c r="F66" i="22" s="1"/>
  <c r="F186" i="10"/>
  <c r="F57" i="22" s="1"/>
  <c r="F194" i="10"/>
  <c r="F65" i="22" s="1"/>
  <c r="G188" i="10"/>
  <c r="G59" i="22" s="1"/>
  <c r="F182" i="10"/>
  <c r="F53" i="22" s="1"/>
  <c r="F193" i="10"/>
  <c r="F64" i="22" s="1"/>
  <c r="F183" i="10"/>
  <c r="F192" i="10"/>
  <c r="F63" i="22" s="1"/>
  <c r="F187" i="10"/>
  <c r="F58" i="22" s="1"/>
  <c r="F190" i="10"/>
  <c r="F61" i="22" s="1"/>
  <c r="G187" i="10"/>
  <c r="G58" i="22" s="1"/>
  <c r="F184" i="10"/>
  <c r="F180" i="10"/>
  <c r="F51" i="22" s="1"/>
  <c r="F189" i="10"/>
  <c r="F60" i="22" s="1"/>
  <c r="F191" i="10"/>
  <c r="F62" i="22" s="1"/>
  <c r="W188" i="10"/>
  <c r="F34" i="22" s="1"/>
  <c r="Z192" i="10"/>
  <c r="I38" i="22" s="1"/>
  <c r="Z182" i="10"/>
  <c r="I28" i="22" s="1"/>
  <c r="Z195" i="10"/>
  <c r="AA188" i="10"/>
  <c r="J34" i="22" s="1"/>
  <c r="X182" i="10"/>
  <c r="G28" i="22" s="1"/>
  <c r="X189" i="10"/>
  <c r="G35" i="22" s="1"/>
  <c r="Z181" i="10"/>
  <c r="I27" i="22" s="1"/>
  <c r="E184" i="10"/>
  <c r="Z183" i="10"/>
  <c r="I29" i="22" s="1"/>
  <c r="Z186" i="10"/>
  <c r="I32" i="22" s="1"/>
  <c r="V195" i="10"/>
  <c r="AC186" i="10"/>
  <c r="Z190" i="10"/>
  <c r="I36" i="22" s="1"/>
  <c r="AC183" i="10"/>
  <c r="AC193" i="10"/>
  <c r="Z184" i="10"/>
  <c r="I30" i="22" s="1"/>
  <c r="V193" i="10"/>
  <c r="X183" i="10"/>
  <c r="G29" i="22" s="1"/>
  <c r="X186" i="10"/>
  <c r="G32" i="22" s="1"/>
  <c r="X184" i="10"/>
  <c r="G30" i="22" s="1"/>
  <c r="AC195" i="10"/>
  <c r="Z189" i="10"/>
  <c r="I35" i="22" s="1"/>
  <c r="V186" i="10"/>
  <c r="V190" i="10"/>
  <c r="V188" i="10"/>
  <c r="E34" i="22" s="1"/>
  <c r="AC180" i="10"/>
  <c r="L26" i="22" s="1"/>
  <c r="X190" i="10"/>
  <c r="G36" i="22" s="1"/>
  <c r="X188" i="10"/>
  <c r="G34" i="22" s="1"/>
  <c r="X192" i="10"/>
  <c r="G38" i="22" s="1"/>
  <c r="AC192" i="10"/>
  <c r="AC184" i="10"/>
  <c r="V191" i="10"/>
  <c r="X180" i="10"/>
  <c r="G26" i="22" s="1"/>
  <c r="Y188" i="10"/>
  <c r="H34" i="22" s="1"/>
  <c r="V189" i="10"/>
  <c r="V192" i="10"/>
  <c r="X181" i="10"/>
  <c r="G27" i="22" s="1"/>
  <c r="AC191" i="10"/>
  <c r="Z191" i="10"/>
  <c r="V183" i="10"/>
  <c r="E183" i="10" s="1"/>
  <c r="Z180" i="10"/>
  <c r="I26" i="22" s="1"/>
  <c r="Z188" i="10"/>
  <c r="I34" i="22" s="1"/>
  <c r="AC190" i="10"/>
  <c r="V194" i="10"/>
  <c r="V181" i="10"/>
  <c r="AA176" i="10"/>
  <c r="Y176" i="10"/>
  <c r="Z176" i="10"/>
  <c r="N12" i="8"/>
  <c r="AC100" i="10"/>
  <c r="AC176" i="10" s="1"/>
  <c r="N16" i="8"/>
  <c r="N17" i="8"/>
  <c r="O13" i="8"/>
  <c r="N18" i="8"/>
  <c r="M19" i="8"/>
  <c r="O19" i="8"/>
  <c r="M14" i="8"/>
  <c r="O14" i="8"/>
  <c r="E55" i="22" l="1"/>
  <c r="H185" i="10"/>
  <c r="W178" i="10"/>
  <c r="F24" i="22" s="1"/>
  <c r="F22" i="22"/>
  <c r="F178" i="10"/>
  <c r="F49" i="22" s="1"/>
  <c r="K24" i="22"/>
  <c r="Y178" i="10"/>
  <c r="H24" i="22" s="1"/>
  <c r="H22" i="22"/>
  <c r="AA178" i="10"/>
  <c r="J24" i="22" s="1"/>
  <c r="J22" i="22"/>
  <c r="V178" i="10"/>
  <c r="E24" i="22" s="1"/>
  <c r="E22" i="22"/>
  <c r="AC178" i="10"/>
  <c r="L22" i="22"/>
  <c r="Z178" i="10"/>
  <c r="I24" i="22" s="1"/>
  <c r="I22" i="22"/>
  <c r="G183" i="10"/>
  <c r="G54" i="22" s="1"/>
  <c r="L29" i="22"/>
  <c r="J195" i="10"/>
  <c r="J66" i="22" s="1"/>
  <c r="I41" i="22"/>
  <c r="E182" i="10"/>
  <c r="E53" i="22" s="1"/>
  <c r="E28" i="22"/>
  <c r="E194" i="10"/>
  <c r="E65" i="22" s="1"/>
  <c r="E40" i="22"/>
  <c r="G190" i="10"/>
  <c r="G61" i="22" s="1"/>
  <c r="L36" i="22"/>
  <c r="E186" i="10"/>
  <c r="E57" i="22" s="1"/>
  <c r="E32" i="22"/>
  <c r="E191" i="10"/>
  <c r="E62" i="22" s="1"/>
  <c r="E37" i="22"/>
  <c r="G184" i="10"/>
  <c r="G55" i="22" s="1"/>
  <c r="L30" i="22"/>
  <c r="G195" i="10"/>
  <c r="G66" i="22" s="1"/>
  <c r="L41" i="22"/>
  <c r="E195" i="10"/>
  <c r="E66" i="22" s="1"/>
  <c r="E41" i="22"/>
  <c r="H183" i="10"/>
  <c r="H54" i="22" s="1"/>
  <c r="F54" i="22"/>
  <c r="E189" i="10"/>
  <c r="E60" i="22" s="1"/>
  <c r="E35" i="22"/>
  <c r="G186" i="10"/>
  <c r="G57" i="22" s="1"/>
  <c r="L32" i="22"/>
  <c r="E54" i="22"/>
  <c r="E29" i="22"/>
  <c r="G192" i="10"/>
  <c r="G63" i="22" s="1"/>
  <c r="L38" i="22"/>
  <c r="G191" i="10"/>
  <c r="G62" i="22" s="1"/>
  <c r="L37" i="22"/>
  <c r="E193" i="10"/>
  <c r="E64" i="22" s="1"/>
  <c r="E39" i="22"/>
  <c r="E181" i="10"/>
  <c r="E52" i="22" s="1"/>
  <c r="E27" i="22"/>
  <c r="E190" i="10"/>
  <c r="E61" i="22" s="1"/>
  <c r="E36" i="22"/>
  <c r="J191" i="10"/>
  <c r="J62" i="22" s="1"/>
  <c r="I37" i="22"/>
  <c r="E192" i="10"/>
  <c r="E63" i="22" s="1"/>
  <c r="E38" i="22"/>
  <c r="H184" i="10"/>
  <c r="H55" i="22" s="1"/>
  <c r="F55" i="22"/>
  <c r="G193" i="10"/>
  <c r="G64" i="22" s="1"/>
  <c r="L39" i="22"/>
  <c r="G180" i="10"/>
  <c r="G51" i="22" s="1"/>
  <c r="E180" i="10"/>
  <c r="E51" i="22" s="1"/>
  <c r="H180" i="10"/>
  <c r="H51" i="22" s="1"/>
  <c r="J181" i="10"/>
  <c r="J52" i="22" s="1"/>
  <c r="I197" i="10"/>
  <c r="J190" i="10"/>
  <c r="J61" i="22" s="1"/>
  <c r="J192" i="10"/>
  <c r="J63" i="22" s="1"/>
  <c r="J183" i="10"/>
  <c r="J54" i="22" s="1"/>
  <c r="E188" i="10"/>
  <c r="H197" i="10"/>
  <c r="J189" i="10"/>
  <c r="J60" i="22" s="1"/>
  <c r="J182" i="10"/>
  <c r="J53" i="22" s="1"/>
  <c r="J180" i="10"/>
  <c r="J51" i="22" s="1"/>
  <c r="H182" i="10"/>
  <c r="H53" i="22" s="1"/>
  <c r="J184" i="10"/>
  <c r="J55" i="22" s="1"/>
  <c r="J188" i="10"/>
  <c r="J59" i="22" s="1"/>
  <c r="J186" i="10"/>
  <c r="J57" i="22" s="1"/>
  <c r="I187" i="10"/>
  <c r="H194" i="10"/>
  <c r="H187" i="10"/>
  <c r="AC181" i="10"/>
  <c r="H186" i="10" l="1"/>
  <c r="H57" i="22" s="1"/>
  <c r="I184" i="10"/>
  <c r="I55" i="22" s="1"/>
  <c r="H181" i="10"/>
  <c r="H190" i="10"/>
  <c r="H61" i="22" s="1"/>
  <c r="H189" i="10"/>
  <c r="H60" i="22" s="1"/>
  <c r="H195" i="10"/>
  <c r="H193" i="10"/>
  <c r="K193" i="10" s="1"/>
  <c r="K64" i="22" s="1"/>
  <c r="K185" i="10"/>
  <c r="K56" i="22" s="1"/>
  <c r="H56" i="22"/>
  <c r="H191" i="10"/>
  <c r="K191" i="10" s="1"/>
  <c r="K62" i="22" s="1"/>
  <c r="H192" i="10"/>
  <c r="H63" i="22" s="1"/>
  <c r="L197" i="10"/>
  <c r="L68" i="22" s="1"/>
  <c r="I68" i="22"/>
  <c r="K197" i="10"/>
  <c r="K68" i="22" s="1"/>
  <c r="H68" i="22"/>
  <c r="F198" i="10"/>
  <c r="F69" i="22" s="1"/>
  <c r="I182" i="10"/>
  <c r="I53" i="22" s="1"/>
  <c r="E178" i="10"/>
  <c r="I186" i="10"/>
  <c r="I57" i="22" s="1"/>
  <c r="J178" i="10"/>
  <c r="J198" i="10" s="1"/>
  <c r="J69" i="22" s="1"/>
  <c r="I183" i="10"/>
  <c r="I54" i="22" s="1"/>
  <c r="I195" i="10"/>
  <c r="L195" i="10" s="1"/>
  <c r="L66" i="22" s="1"/>
  <c r="I191" i="10"/>
  <c r="I62" i="22" s="1"/>
  <c r="G178" i="10"/>
  <c r="L24" i="22"/>
  <c r="I193" i="10"/>
  <c r="L193" i="10" s="1"/>
  <c r="L64" i="22" s="1"/>
  <c r="K195" i="10"/>
  <c r="K66" i="22" s="1"/>
  <c r="H66" i="22"/>
  <c r="I192" i="10"/>
  <c r="I63" i="22" s="1"/>
  <c r="I188" i="10"/>
  <c r="I59" i="22" s="1"/>
  <c r="E59" i="22"/>
  <c r="K187" i="10"/>
  <c r="K58" i="22" s="1"/>
  <c r="H58" i="22"/>
  <c r="L187" i="10"/>
  <c r="L58" i="22" s="1"/>
  <c r="I58" i="22"/>
  <c r="G181" i="10"/>
  <c r="L27" i="22"/>
  <c r="K181" i="10"/>
  <c r="K52" i="22" s="1"/>
  <c r="H52" i="22"/>
  <c r="I189" i="10"/>
  <c r="I60" i="22" s="1"/>
  <c r="I194" i="10"/>
  <c r="K194" i="10"/>
  <c r="K65" i="22" s="1"/>
  <c r="H65" i="22"/>
  <c r="I190" i="10"/>
  <c r="I61" i="22" s="1"/>
  <c r="I180" i="10"/>
  <c r="I51" i="22" s="1"/>
  <c r="K183" i="10"/>
  <c r="K54" i="22" s="1"/>
  <c r="K189" i="10"/>
  <c r="K60" i="22" s="1"/>
  <c r="H188" i="10"/>
  <c r="K180" i="10"/>
  <c r="K51" i="22" s="1"/>
  <c r="K182" i="10"/>
  <c r="K53" i="22" s="1"/>
  <c r="K186" i="10"/>
  <c r="K57" i="22" s="1"/>
  <c r="K184" i="10"/>
  <c r="K55" i="22" s="1"/>
  <c r="K190" i="10" l="1"/>
  <c r="K61" i="22" s="1"/>
  <c r="L184" i="10"/>
  <c r="L55" i="22" s="1"/>
  <c r="H62" i="22"/>
  <c r="E49" i="22"/>
  <c r="H178" i="10"/>
  <c r="H198" i="10" s="1"/>
  <c r="H69" i="22" s="1"/>
  <c r="H64" i="22"/>
  <c r="K192" i="10"/>
  <c r="K63" i="22" s="1"/>
  <c r="L182" i="10"/>
  <c r="L53" i="22" s="1"/>
  <c r="E198" i="10"/>
  <c r="E69" i="22" s="1"/>
  <c r="L186" i="10"/>
  <c r="L57" i="22" s="1"/>
  <c r="I178" i="10"/>
  <c r="L178" i="10" s="1"/>
  <c r="L49" i="22" s="1"/>
  <c r="L191" i="10"/>
  <c r="L62" i="22" s="1"/>
  <c r="L192" i="10"/>
  <c r="L63" i="22" s="1"/>
  <c r="L183" i="10"/>
  <c r="L54" i="22" s="1"/>
  <c r="J49" i="22"/>
  <c r="I66" i="22"/>
  <c r="L180" i="10"/>
  <c r="L51" i="22" s="1"/>
  <c r="L189" i="10"/>
  <c r="L60" i="22" s="1"/>
  <c r="I64" i="22"/>
  <c r="G49" i="22"/>
  <c r="G198" i="10"/>
  <c r="G69" i="22" s="1"/>
  <c r="L188" i="10"/>
  <c r="L59" i="22" s="1"/>
  <c r="K188" i="10"/>
  <c r="K59" i="22" s="1"/>
  <c r="H59" i="22"/>
  <c r="L194" i="10"/>
  <c r="L65" i="22" s="1"/>
  <c r="I65" i="22"/>
  <c r="L190" i="10"/>
  <c r="L61" i="22" s="1"/>
  <c r="I181" i="10"/>
  <c r="G52" i="22"/>
  <c r="I198" i="10" l="1"/>
  <c r="I69" i="22" s="1"/>
  <c r="K178" i="10"/>
  <c r="H49" i="22"/>
  <c r="I49" i="22"/>
  <c r="L198" i="10"/>
  <c r="L69" i="22" s="1"/>
  <c r="I52" i="22"/>
  <c r="L181" i="10"/>
  <c r="L52" i="22" s="1"/>
  <c r="K49" i="22" l="1"/>
  <c r="K198" i="10"/>
  <c r="K6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tc={6CF07077-DD67-E243-B721-57013FD4F5EE}</author>
    <author>tc={F1CE9B17-BD66-A642-ABD9-19455CA6FA81}</author>
    <author>tc={CDE89E3A-81E0-354A-A040-A6F0D70ED227}</author>
    <author>tc={89FFDD49-293C-3843-81A6-49598AEE1B28}</author>
    <author>tc={F136591F-6315-A742-9EA1-8C37ECAD038D}</author>
    <author>tc={D53697F6-57EB-D144-B6BD-82364DB0E58E}</author>
    <author>tc={3DB24C44-3DAE-EA4C-8CA6-DA3C4E5F1F9E}</author>
    <author>tc={587A8B05-32E1-2D4A-A8A4-DED9A52512E7}</author>
    <author>tc={0EF70C6C-D34F-D445-820A-49C3AC22F33E}</author>
    <author>tc={FE7D38F4-8FAF-BF48-AE7F-F13DD3E7A2E5}</author>
    <author>tc={836636E3-9E65-3F4C-885B-28B896B55229}</author>
    <author>tc={D133DF3D-8320-F546-88A0-53572098A151}</author>
    <author>tc={D483210D-B413-0B46-9D8A-D27A178DE486}</author>
    <author>tc={BC2E2683-874A-5E4E-A90D-B21E70A27859}</author>
    <author>tc={807005AC-922B-D341-9129-3A42FD6C0843}</author>
    <author>tc={C9226F0D-CBBF-CE48-A4DC-55BEDF4BE4D5}</author>
    <author>tc={A21667A3-0198-2343-AA39-9A2CC58C1448}</author>
    <author>tc={954AA1DD-60AD-8A47-BD2D-6CEE59C8259C}</author>
    <author>tc={F3E6F08C-DD17-BE41-9B06-025B5551803C}</author>
    <author>tc={30F67D72-B9EA-1F44-9363-210C577B4769}</author>
    <author>tc={54BAC60C-E01C-E041-A85C-88D5A375A257}</author>
    <author>tc={7D7D9F9C-68B7-8D4B-AB7E-47EE0FAA3B01}</author>
    <author>tc={90F994C9-0083-7742-BCDF-886F33AE3316}</author>
    <author>tc={10F75AD2-17A8-254B-80C0-0962F1B3FDDC}</author>
    <author>tc={1A040142-86D9-BB48-914B-92BB46FD2158}</author>
    <author>tc={513A21E7-BBFF-C044-B91D-59584ECB2AAF}</author>
    <author>tc={A54C7002-03F1-B743-ADE9-F7981F3E40A2}</author>
    <author>tc={A8C82134-DA24-7848-AF94-4C766D1D83E3}</author>
    <author>tc={47352C73-DC3F-2645-A671-6098684A8CFB}</author>
    <author>tc={274A3389-04CA-E147-B317-4449B34D6397}</author>
    <author>tc={B82EF3AB-25FF-4542-8D3A-9F9871621920}</author>
    <author>tc={94353E60-933A-5B41-8010-91F4DA11C4D8}</author>
    <author>tc={07B0F5F3-A6DD-EF41-A747-D6B8E79DA7C1}</author>
  </authors>
  <commentList>
    <comment ref="I118" authorId="0" shapeId="0" xr:uid="{6CF07077-DD67-E243-B721-57013FD4F5EE}">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J118" authorId="1" shapeId="0" xr:uid="{F1CE9B17-BD66-A642-ABD9-19455CA6FA81}">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K118" authorId="2" shapeId="0" xr:uid="{CDE89E3A-81E0-354A-A040-A6F0D70ED227}">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N118" authorId="3" shapeId="0" xr:uid="{89FFDD49-293C-3843-81A6-49598AEE1B28}">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I123" authorId="4" shapeId="0" xr:uid="{F136591F-6315-A742-9EA1-8C37ECAD038D}">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J123" authorId="5" shapeId="0" xr:uid="{D53697F6-57EB-D144-B6BD-82364DB0E58E}">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K123" authorId="6" shapeId="0" xr:uid="{3DB24C44-3DAE-EA4C-8CA6-DA3C4E5F1F9E}">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N123" authorId="7" shapeId="0" xr:uid="{587A8B05-32E1-2D4A-A8A4-DED9A52512E7}">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I124" authorId="8" shapeId="0" xr:uid="{0EF70C6C-D34F-D445-820A-49C3AC22F33E}">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J124" authorId="9" shapeId="0" xr:uid="{FE7D38F4-8FAF-BF48-AE7F-F13DD3E7A2E5}">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K124" authorId="10" shapeId="0" xr:uid="{836636E3-9E65-3F4C-885B-28B896B55229}">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N124" authorId="11" shapeId="0" xr:uid="{D133DF3D-8320-F546-88A0-53572098A151}">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I125" authorId="12" shapeId="0" xr:uid="{D483210D-B413-0B46-9D8A-D27A178DE486}">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J125" authorId="13" shapeId="0" xr:uid="{BC2E2683-874A-5E4E-A90D-B21E70A27859}">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K125" authorId="14" shapeId="0" xr:uid="{807005AC-922B-D341-9129-3A42FD6C0843}">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N125" authorId="15" shapeId="0" xr:uid="{C9226F0D-CBBF-CE48-A4DC-55BEDF4BE4D5}">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I126" authorId="16" shapeId="0" xr:uid="{A21667A3-0198-2343-AA39-9A2CC58C1448}">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J126" authorId="17" shapeId="0" xr:uid="{954AA1DD-60AD-8A47-BD2D-6CEE59C8259C}">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K126" authorId="18" shapeId="0" xr:uid="{F3E6F08C-DD17-BE41-9B06-025B5551803C}">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N126" authorId="19" shapeId="0" xr:uid="{30F67D72-B9EA-1F44-9363-210C577B4769}">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I127" authorId="20" shapeId="0" xr:uid="{54BAC60C-E01C-E041-A85C-88D5A375A257}">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J127" authorId="21" shapeId="0" xr:uid="{7D7D9F9C-68B7-8D4B-AB7E-47EE0FAA3B01}">
      <text>
        <t>[Threaded comment]
Your version of Excel allows you to read this threaded comment; however, any edits to it will get removed if the file is opened in a newer version of Excel. Learn more: https://go.microsoft.com/fwlink/?linkid=870924
Comment:
    Use appropriate C content for scrap</t>
      </text>
    </comment>
    <comment ref="K127" authorId="22" shapeId="0" xr:uid="{90F994C9-0083-7742-BCDF-886F33AE3316}">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N127" authorId="23" shapeId="0" xr:uid="{10F75AD2-17A8-254B-80C0-0962F1B3FDDC}">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I128" authorId="24" shapeId="0" xr:uid="{1A040142-86D9-BB48-914B-92BB46FD2158}">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J128" authorId="25" shapeId="0" xr:uid="{513A21E7-BBFF-C044-B91D-59584ECB2AAF}">
      <text>
        <t>[Threaded comment]
Your version of Excel allows you to read this threaded comment; however, any edits to it will get removed if the file is opened in a newer version of Excel. Learn more: https://go.microsoft.com/fwlink/?linkid=870924
Comment:
    Use appropriate C content for scrap</t>
      </text>
    </comment>
    <comment ref="K128" authorId="26" shapeId="0" xr:uid="{A54C7002-03F1-B743-ADE9-F7981F3E40A2}">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N128" authorId="27" shapeId="0" xr:uid="{A8C82134-DA24-7848-AF94-4C766D1D83E3}">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I129" authorId="28" shapeId="0" xr:uid="{47352C73-DC3F-2645-A671-6098684A8CFB}">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J129" authorId="29" shapeId="0" xr:uid="{274A3389-04CA-E147-B317-4449B34D6397}">
      <text>
        <t>[Threaded comment]
Your version of Excel allows you to read this threaded comment; however, any edits to it will get removed if the file is opened in a newer version of Excel. Learn more: https://go.microsoft.com/fwlink/?linkid=870924
Comment:
    Use appropriate C content for scrap</t>
      </text>
    </comment>
    <comment ref="K129" authorId="30" shapeId="0" xr:uid="{B82EF3AB-25FF-4542-8D3A-9F9871621920}">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N129" authorId="31" shapeId="0" xr:uid="{94353E60-933A-5B41-8010-91F4DA11C4D8}">
      <text>
        <t>[Threaded comment]
Your version of Excel allows you to read this threaded comment; however, any edits to it will get removed if the file is opened in a newer version of Excel. Learn more: https://go.microsoft.com/fwlink/?linkid=870924
Comment:
    Use India-specific Emission Factor</t>
      </text>
    </comment>
    <comment ref="U153" authorId="32" shapeId="0" xr:uid="{07B0F5F3-A6DD-EF41-A747-D6B8E79DA7C1}">
      <text>
        <t>[Threaded comment]
Your version of Excel allows you to read this threaded comment; however, any edits to it will get removed if the file is opened in a newer version of Excel. Learn more: https://go.microsoft.com/fwlink/?linkid=870924
Comment:
    Link- the applicable CO2 /MWh from table 3 or enter the Specific Factor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tc={8F5814CE-AE98-3B40-B535-43CE73C140BE}</author>
    <author>tc={7DFEE7DD-929D-434F-AB1B-6CF94E09C942}</author>
    <author>tc={BF6726E7-CB7F-804A-82AA-A765941B502A}</author>
    <author>tc={6D5DA11C-1971-674E-86A3-8C3A535DC25F}</author>
    <author>tc={C7D05998-196F-0942-BE14-046A283D0E07}</author>
    <author>tc={3625C6F8-D7DD-EE45-96BB-08F572EB1234}</author>
    <author>tc={9F6C2A48-8575-5E4F-A137-8031E68236AC}</author>
    <author>tc={08E4B82E-BF1F-8D40-B380-E4EDCB4BB053}</author>
    <author>tc={A2CAA3F1-68F1-484B-A557-01CBA44BF07B}</author>
  </authors>
  <commentList>
    <comment ref="J128" authorId="0" shapeId="0" xr:uid="{8F5814CE-AE98-3B40-B535-43CE73C140BE}">
      <text>
        <t>[Threaded comment]
Your version of Excel allows you to read this threaded comment; however, any edits to it will get removed if the file is opened in a newer version of Excel. Learn more: https://go.microsoft.com/fwlink/?linkid=870924
Comment:
    Use appropriate C content for scrap</t>
      </text>
    </comment>
    <comment ref="N128" authorId="1" shapeId="0" xr:uid="{7DFEE7DD-929D-434F-AB1B-6CF94E09C942}">
      <text>
        <t>[Threaded comment]
Your version of Excel allows you to read this threaded comment; however, any edits to it will get removed if the file is opened in a newer version of Excel. Learn more: https://go.microsoft.com/fwlink/?linkid=870924
Comment:
    Use the appropriate factor for Steel Scrap</t>
      </text>
    </comment>
    <comment ref="J129" authorId="2" shapeId="0" xr:uid="{BF6726E7-CB7F-804A-82AA-A765941B502A}">
      <text>
        <t>[Threaded comment]
Your version of Excel allows you to read this threaded comment; however, any edits to it will get removed if the file is opened in a newer version of Excel. Learn more: https://go.microsoft.com/fwlink/?linkid=870924
Comment:
    Use appropriate C content obtained from Supplier.</t>
      </text>
    </comment>
    <comment ref="N129" authorId="3" shapeId="0" xr:uid="{6D5DA11C-1971-674E-86A3-8C3A535DC25F}">
      <text>
        <t>[Threaded comment]
Your version of Excel allows you to read this threaded comment; however, any edits to it will get removed if the file is opened in a newer version of Excel. Learn more: https://go.microsoft.com/fwlink/?linkid=870924
Comment:
    Use appropriate factor for Purchased crude steel  or obtained from supplier</t>
      </text>
    </comment>
    <comment ref="J130" authorId="4" shapeId="0" xr:uid="{C7D05998-196F-0942-BE14-046A283D0E07}">
      <text>
        <t>[Threaded comment]
Your version of Excel allows you to read this threaded comment; however, any edits to it will get removed if the file is opened in a newer version of Excel. Learn more: https://go.microsoft.com/fwlink/?linkid=870924
Comment:
    Use appropriate C content obtained from Supplier.</t>
      </text>
    </comment>
    <comment ref="N130" authorId="5" shapeId="0" xr:uid="{3625C6F8-D7DD-EE45-96BB-08F572EB1234}">
      <text>
        <t>[Threaded comment]
Your version of Excel allows you to read this threaded comment; however, any edits to it will get removed if the file is opened in a newer version of Excel. Learn more: https://go.microsoft.com/fwlink/?linkid=870924
Comment:
    Use appropriate factor for Purchased crude steel  or obtained from supplier</t>
      </text>
    </comment>
    <comment ref="J131" authorId="6" shapeId="0" xr:uid="{9F6C2A48-8575-5E4F-A137-8031E68236AC}">
      <text>
        <t>[Threaded comment]
Your version of Excel allows you to read this threaded comment; however, any edits to it will get removed if the file is opened in a newer version of Excel. Learn more: https://go.microsoft.com/fwlink/?linkid=870924
Comment:
    Use appropriate C content obtained from Supplier.</t>
      </text>
    </comment>
    <comment ref="N131" authorId="7" shapeId="0" xr:uid="{08E4B82E-BF1F-8D40-B380-E4EDCB4BB053}">
      <text>
        <t>[Threaded comment]
Your version of Excel allows you to read this threaded comment; however, any edits to it will get removed if the file is opened in a newer version of Excel. Learn more: https://go.microsoft.com/fwlink/?linkid=870924
Comment:
    Use appropriate factor for Purchased crude steel  or obtained from supplier</t>
      </text>
    </comment>
    <comment ref="U155" authorId="8" shapeId="0" xr:uid="{A2CAA3F1-68F1-484B-A557-01CBA44BF07B}">
      <text>
        <t>[Threaded comment]
Your version of Excel allows you to read this threaded comment; however, any edits to it will get removed if the file is opened in a newer version of Excel. Learn more: https://go.microsoft.com/fwlink/?linkid=870924
Comment:
    Link- the applicable CO2 /MWh from table 3 or enter the value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tc={AE5AB1BB-428C-7242-8ADD-01C0FA1C76A8}</author>
    <author>tc={AA881C2E-7E73-B040-A3EC-4107F4A26478}</author>
    <author>tc={3E0C4D22-EB6C-CD4F-A93C-5DBADF707995}</author>
    <author>tc={E8FB1E36-B06D-2942-8871-46C02FA4EB35}</author>
    <author>tc={B1A10A53-4904-EB4C-8842-093B132FA42B}</author>
    <author>tc={E909FDC0-F025-E346-8525-70DFFB9BDE67}</author>
    <author>tc={AD14A095-4A04-3941-9076-B87A2E26B08A}</author>
    <author>tc={CD9FAF59-B09C-D547-A10B-C0118C7A46B1}</author>
    <author>tc={A1D45312-BA82-984E-9715-48367DCFAC5F}</author>
  </authors>
  <commentList>
    <comment ref="J128" authorId="0" shapeId="0" xr:uid="{AE5AB1BB-428C-7242-8ADD-01C0FA1C76A8}">
      <text>
        <t>[Threaded comment]
Your version of Excel allows you to read this threaded comment; however, any edits to it will get removed if the file is opened in a newer version of Excel. Learn more: https://go.microsoft.com/fwlink/?linkid=870924
Comment:
    Use appropriate C content for scrap</t>
      </text>
    </comment>
    <comment ref="N128" authorId="1" shapeId="0" xr:uid="{AA881C2E-7E73-B040-A3EC-4107F4A26478}">
      <text>
        <t>[Threaded comment]
Your version of Excel allows you to read this threaded comment; however, any edits to it will get removed if the file is opened in a newer version of Excel. Learn more: https://go.microsoft.com/fwlink/?linkid=870924
Comment:
    Use the appropriate factor for Steel Scrap</t>
      </text>
    </comment>
    <comment ref="J129" authorId="2" shapeId="0" xr:uid="{3E0C4D22-EB6C-CD4F-A93C-5DBADF707995}">
      <text>
        <t>[Threaded comment]
Your version of Excel allows you to read this threaded comment; however, any edits to it will get removed if the file is opened in a newer version of Excel. Learn more: https://go.microsoft.com/fwlink/?linkid=870924
Comment:
    Use appropriate C content obtained from Supplier.</t>
      </text>
    </comment>
    <comment ref="N129" authorId="3" shapeId="0" xr:uid="{E8FB1E36-B06D-2942-8871-46C02FA4EB35}">
      <text>
        <t>[Threaded comment]
Your version of Excel allows you to read this threaded comment; however, any edits to it will get removed if the file is opened in a newer version of Excel. Learn more: https://go.microsoft.com/fwlink/?linkid=870924
Comment:
    Use appropriate factor for Purchased crude steel  or obtained from supplier</t>
      </text>
    </comment>
    <comment ref="J130" authorId="4" shapeId="0" xr:uid="{B1A10A53-4904-EB4C-8842-093B132FA42B}">
      <text>
        <t>[Threaded comment]
Your version of Excel allows you to read this threaded comment; however, any edits to it will get removed if the file is opened in a newer version of Excel. Learn more: https://go.microsoft.com/fwlink/?linkid=870924
Comment:
    Use appropriate C content obtained from Supplier.</t>
      </text>
    </comment>
    <comment ref="N130" authorId="5" shapeId="0" xr:uid="{E909FDC0-F025-E346-8525-70DFFB9BDE67}">
      <text>
        <t>[Threaded comment]
Your version of Excel allows you to read this threaded comment; however, any edits to it will get removed if the file is opened in a newer version of Excel. Learn more: https://go.microsoft.com/fwlink/?linkid=870924
Comment:
    Use appropriate factor for Purchased crude steel  or obtained from supplier</t>
      </text>
    </comment>
    <comment ref="J131" authorId="6" shapeId="0" xr:uid="{AD14A095-4A04-3941-9076-B87A2E26B08A}">
      <text>
        <t>[Threaded comment]
Your version of Excel allows you to read this threaded comment; however, any edits to it will get removed if the file is opened in a newer version of Excel. Learn more: https://go.microsoft.com/fwlink/?linkid=870924
Comment:
    Use appropriate C content obtained from Supplier.</t>
      </text>
    </comment>
    <comment ref="N131" authorId="7" shapeId="0" xr:uid="{CD9FAF59-B09C-D547-A10B-C0118C7A46B1}">
      <text>
        <t>[Threaded comment]
Your version of Excel allows you to read this threaded comment; however, any edits to it will get removed if the file is opened in a newer version of Excel. Learn more: https://go.microsoft.com/fwlink/?linkid=870924
Comment:
    Use appropriate factor for Purchased crude steel  or obtained from supplier</t>
      </text>
    </comment>
    <comment ref="U155" authorId="8" shapeId="0" xr:uid="{A1D45312-BA82-984E-9715-48367DCFAC5F}">
      <text>
        <t>[Threaded comment]
Your version of Excel allows you to read this threaded comment; however, any edits to it will get removed if the file is opened in a newer version of Excel. Learn more: https://go.microsoft.com/fwlink/?linkid=870924
Comment:
    Link- the applicable CO2 /MWh from table 3 or enter the value</t>
      </text>
    </comment>
  </commentList>
</comments>
</file>

<file path=xl/sharedStrings.xml><?xml version="1.0" encoding="utf-8"?>
<sst xmlns="http://schemas.openxmlformats.org/spreadsheetml/2006/main" count="2653" uniqueCount="347">
  <si>
    <t>Site:</t>
  </si>
  <si>
    <t>Organization:</t>
  </si>
  <si>
    <t>Sinter plant</t>
  </si>
  <si>
    <t>Pellet plant</t>
  </si>
  <si>
    <t>C content
Site measurement</t>
  </si>
  <si>
    <t>Energy Equivalent</t>
  </si>
  <si>
    <r>
      <t>Upstream
CO</t>
    </r>
    <r>
      <rPr>
        <vertAlign val="subscript"/>
        <sz val="8"/>
        <rFont val="Arial"/>
        <family val="2"/>
      </rPr>
      <t>2</t>
    </r>
    <r>
      <rPr>
        <sz val="8"/>
        <rFont val="Arial"/>
        <family val="2"/>
      </rPr>
      <t xml:space="preserve"> value</t>
    </r>
  </si>
  <si>
    <t>Scope 1
Direct emissions</t>
  </si>
  <si>
    <t>Scope 1.1
emissions</t>
  </si>
  <si>
    <t>Scope 2 emissions</t>
  </si>
  <si>
    <t>Scope 3 emissions</t>
  </si>
  <si>
    <t>t C/unit</t>
  </si>
  <si>
    <t>GJ/unit</t>
  </si>
  <si>
    <t>Iron ore</t>
  </si>
  <si>
    <t>dry t</t>
  </si>
  <si>
    <t>Coking coal</t>
  </si>
  <si>
    <t>BF injection coal</t>
  </si>
  <si>
    <t>Sinter/BOF coal</t>
  </si>
  <si>
    <t>Steam coal</t>
  </si>
  <si>
    <t>EAF coal</t>
  </si>
  <si>
    <t>SR/DRI coal</t>
  </si>
  <si>
    <t>Coke</t>
  </si>
  <si>
    <t>Charcoal</t>
  </si>
  <si>
    <t>Heavy oil</t>
  </si>
  <si>
    <t>Light oil</t>
  </si>
  <si>
    <t>Kerosene</t>
  </si>
  <si>
    <t>LPG</t>
  </si>
  <si>
    <t>t</t>
  </si>
  <si>
    <t>LNG</t>
  </si>
  <si>
    <t>Natural gas</t>
  </si>
  <si>
    <t>Limestone</t>
  </si>
  <si>
    <t>Burnt lime</t>
  </si>
  <si>
    <t>Crude dolomite</t>
  </si>
  <si>
    <t>Burnt dolomite</t>
  </si>
  <si>
    <t>Sinter</t>
  </si>
  <si>
    <t>Pellets</t>
  </si>
  <si>
    <t>EAF electrodes</t>
  </si>
  <si>
    <t>Pig Iron</t>
  </si>
  <si>
    <t>Cold Iron</t>
  </si>
  <si>
    <t>Ni pig iron</t>
  </si>
  <si>
    <t>Gas based DRI</t>
  </si>
  <si>
    <t>Coal based DRI</t>
  </si>
  <si>
    <t>Ferro-Nickel</t>
  </si>
  <si>
    <t>Nickel oxides</t>
  </si>
  <si>
    <t>Nickel metal</t>
  </si>
  <si>
    <t>Ferro-Chromium</t>
  </si>
  <si>
    <t>Molybdenum oxides</t>
  </si>
  <si>
    <t>Ferro-Manganese</t>
  </si>
  <si>
    <t>Electricity</t>
  </si>
  <si>
    <t>MWh</t>
  </si>
  <si>
    <t>Steam</t>
  </si>
  <si>
    <t>Oxygen</t>
  </si>
  <si>
    <t>Nitrogen</t>
  </si>
  <si>
    <t>Argon</t>
  </si>
  <si>
    <t>Blast furnace gas</t>
  </si>
  <si>
    <t>BOF gas</t>
  </si>
  <si>
    <t>Coal tar</t>
  </si>
  <si>
    <t>Benzole</t>
  </si>
  <si>
    <t>GJ</t>
  </si>
  <si>
    <t xml:space="preserve">National or regional regulator mix </t>
  </si>
  <si>
    <t xml:space="preserve">Site power supply contract mix </t>
  </si>
  <si>
    <r>
      <t>t CO</t>
    </r>
    <r>
      <rPr>
        <vertAlign val="subscript"/>
        <sz val="8"/>
        <rFont val="Arial"/>
        <family val="2"/>
      </rPr>
      <t>2</t>
    </r>
    <r>
      <rPr>
        <sz val="8"/>
        <rFont val="Arial"/>
        <family val="2"/>
      </rPr>
      <t>/MWh</t>
    </r>
  </si>
  <si>
    <t>GJ/MWh</t>
  </si>
  <si>
    <t>Coke oven gas</t>
  </si>
  <si>
    <t>Global average grid mix</t>
  </si>
  <si>
    <t>Low carbon DRI</t>
  </si>
  <si>
    <t>IEA yearly update global grid mix</t>
  </si>
  <si>
    <t>Ferro-Silicon</t>
  </si>
  <si>
    <t>Silico-Manganese</t>
  </si>
  <si>
    <t>Ferro-Molybdenum</t>
  </si>
  <si>
    <t>EAF slag</t>
  </si>
  <si>
    <t>Waste heat</t>
  </si>
  <si>
    <t>Petroleum coke</t>
  </si>
  <si>
    <t>Green hydrogen</t>
  </si>
  <si>
    <t>Blue hydrogen</t>
  </si>
  <si>
    <t>Grey hydrogen</t>
  </si>
  <si>
    <t>Charcoal based pig iron</t>
  </si>
  <si>
    <t>Biomass</t>
  </si>
  <si>
    <t>BF slag</t>
  </si>
  <si>
    <t>BOF slag</t>
  </si>
  <si>
    <t>Low carbon iron units</t>
  </si>
  <si>
    <t>Ammonia</t>
  </si>
  <si>
    <t xml:space="preserve">Ethanol </t>
  </si>
  <si>
    <t>Methanol</t>
  </si>
  <si>
    <t>Fossil free biogas</t>
  </si>
  <si>
    <t>Consolidated</t>
  </si>
  <si>
    <t>Extended</t>
  </si>
  <si>
    <t>Silicon (Metal)</t>
  </si>
  <si>
    <t>Used tires</t>
  </si>
  <si>
    <t>Used plastic</t>
  </si>
  <si>
    <t>Year (reported period):</t>
  </si>
  <si>
    <t>Up-to-Crude Steel</t>
  </si>
  <si>
    <t>Material / Energy Flows</t>
  </si>
  <si>
    <t>unit</t>
  </si>
  <si>
    <t>Yes/No</t>
  </si>
  <si>
    <t/>
  </si>
  <si>
    <t>Grid intensity information</t>
  </si>
  <si>
    <r>
      <t>CO</t>
    </r>
    <r>
      <rPr>
        <vertAlign val="subscript"/>
        <sz val="10"/>
        <rFont val="Open Sans"/>
        <family val="2"/>
        <scheme val="minor"/>
      </rPr>
      <t>2</t>
    </r>
    <r>
      <rPr>
        <sz val="10"/>
        <rFont val="Open Sans"/>
        <family val="2"/>
        <scheme val="minor"/>
      </rPr>
      <t xml:space="preserve"> to external use</t>
    </r>
  </si>
  <si>
    <r>
      <t>Permanently sequestered CO</t>
    </r>
    <r>
      <rPr>
        <vertAlign val="subscript"/>
        <sz val="10"/>
        <rFont val="Open Sans"/>
        <family val="2"/>
        <scheme val="minor"/>
      </rPr>
      <t>2</t>
    </r>
  </si>
  <si>
    <t>Protected calculation, do not alter</t>
  </si>
  <si>
    <t>Fixed value, do not alter</t>
  </si>
  <si>
    <t>Upstream
GHG Emission Factors</t>
  </si>
  <si>
    <t>Direct 
GHG Emission Factors</t>
  </si>
  <si>
    <t>Ironmaking</t>
  </si>
  <si>
    <t>Raw materials preparation</t>
  </si>
  <si>
    <t>Steelmaking</t>
  </si>
  <si>
    <t>Auxiliary</t>
  </si>
  <si>
    <t>Slag</t>
  </si>
  <si>
    <t>Direct Energy Equivalent</t>
  </si>
  <si>
    <t>Upstream Energy Equivalent</t>
  </si>
  <si>
    <t>Fill-in, if applicable</t>
  </si>
  <si>
    <t>Default conversion factors</t>
  </si>
  <si>
    <r>
      <t>m</t>
    </r>
    <r>
      <rPr>
        <vertAlign val="superscript"/>
        <sz val="10"/>
        <color theme="1" tint="0.499984740745262"/>
        <rFont val="Open Sans"/>
        <family val="2"/>
        <scheme val="minor"/>
      </rPr>
      <t>3</t>
    </r>
  </si>
  <si>
    <t>tC / unit</t>
  </si>
  <si>
    <t>Process gases</t>
  </si>
  <si>
    <r>
      <t>k Nm</t>
    </r>
    <r>
      <rPr>
        <vertAlign val="superscript"/>
        <sz val="10"/>
        <color theme="1" tint="0.499984740745262"/>
        <rFont val="Open Sans"/>
        <family val="2"/>
        <scheme val="minor"/>
      </rPr>
      <t>3</t>
    </r>
  </si>
  <si>
    <t>i.e. market-based</t>
  </si>
  <si>
    <t>i.e. location-based</t>
  </si>
  <si>
    <t>Site specific / measured conversion factors</t>
  </si>
  <si>
    <t>Grid</t>
  </si>
  <si>
    <t>Upstream
CO2 value</t>
  </si>
  <si>
    <t>t CO2/MWh</t>
  </si>
  <si>
    <t>Chosen Grid</t>
  </si>
  <si>
    <t>Grid dependent materials</t>
  </si>
  <si>
    <t>EE_factor_delta</t>
  </si>
  <si>
    <t>Up_factor_delta</t>
  </si>
  <si>
    <t>Scope 2 delta</t>
  </si>
  <si>
    <t>Scope 3 delta</t>
  </si>
  <si>
    <t>Full site calculation results</t>
  </si>
  <si>
    <t>Total site</t>
  </si>
  <si>
    <t>Sequestered CO2</t>
  </si>
  <si>
    <t>CCU Products</t>
  </si>
  <si>
    <t>External CO2</t>
  </si>
  <si>
    <t>Full site</t>
  </si>
  <si>
    <r>
      <t>tCO</t>
    </r>
    <r>
      <rPr>
        <vertAlign val="subscript"/>
        <sz val="10"/>
        <color theme="1" tint="0.499984740745262"/>
        <rFont val="Open Sans"/>
        <family val="2"/>
        <scheme val="minor"/>
      </rPr>
      <t>2</t>
    </r>
    <r>
      <rPr>
        <sz val="10"/>
        <color theme="1" tint="0.499984740745262"/>
        <rFont val="Open Sans"/>
        <family val="2"/>
        <scheme val="minor"/>
      </rPr>
      <t>e</t>
    </r>
  </si>
  <si>
    <t>Scope 1.1
Direct emissions</t>
  </si>
  <si>
    <t>tGHG</t>
  </si>
  <si>
    <t>GWP100 AR5</t>
  </si>
  <si>
    <t>x28</t>
  </si>
  <si>
    <t>x265</t>
  </si>
  <si>
    <t>Electricity sources comments and context</t>
  </si>
  <si>
    <t>Other steelmaking steel production</t>
  </si>
  <si>
    <t>Anthracite</t>
  </si>
  <si>
    <t>Aluminium</t>
  </si>
  <si>
    <t>Copper</t>
  </si>
  <si>
    <t>Ferro Vanadium</t>
  </si>
  <si>
    <t>Lead</t>
  </si>
  <si>
    <t>Magnesium</t>
  </si>
  <si>
    <t>Manganese</t>
  </si>
  <si>
    <t>Tin</t>
  </si>
  <si>
    <t>Aluminium Foil</t>
  </si>
  <si>
    <t>Zinc</t>
  </si>
  <si>
    <t>Bauxite</t>
  </si>
  <si>
    <t>Cobalt</t>
  </si>
  <si>
    <t>Ferro-Niobium</t>
  </si>
  <si>
    <t>Calcium Silicate</t>
  </si>
  <si>
    <t>Source</t>
  </si>
  <si>
    <t>Direct energy refers to the energy content of the energy carrier (fuel, electricity, steam, coal, etc.).</t>
  </si>
  <si>
    <t>Indirect energy (upstream energy value) is the energy involved with the production of an energy carrier.</t>
  </si>
  <si>
    <t xml:space="preserve">Total carbon content on dry basis. If unknown, it can be estimated by proximate analysis. </t>
  </si>
  <si>
    <t xml:space="preserve">Direct emission factor representing emissions happening on-site from direct use of carbon containing fuel sources or from chemical/industrial processes </t>
  </si>
  <si>
    <t>Emission factors representing emissions taking in the production of the material/energy input.</t>
  </si>
  <si>
    <t>worldsteel</t>
  </si>
  <si>
    <t>IEA</t>
  </si>
  <si>
    <t>EN 19694</t>
  </si>
  <si>
    <t>IPCC</t>
  </si>
  <si>
    <t>ISO 14404</t>
  </si>
  <si>
    <t>worldstainless</t>
  </si>
  <si>
    <t>WRI</t>
  </si>
  <si>
    <t>IPPC</t>
  </si>
  <si>
    <t xml:space="preserve">Verma &amp; Kumar, 2015 </t>
  </si>
  <si>
    <t>worldsteel (Energy Benchmarking)</t>
  </si>
  <si>
    <t>GHG protocol Iron and Steel 2.1 tool</t>
  </si>
  <si>
    <t>Ch 2. Stat.  Comb. 2006 IPCC Guidelines</t>
  </si>
  <si>
    <t>worldsteel LCI</t>
  </si>
  <si>
    <t>International Aluminium Institute</t>
  </si>
  <si>
    <t>International Copper Association</t>
  </si>
  <si>
    <t>Tao et al, 2024</t>
  </si>
  <si>
    <t>The International Tin Association</t>
  </si>
  <si>
    <t>International Zinc Association</t>
  </si>
  <si>
    <t>Cobalt Institute</t>
  </si>
  <si>
    <t>Da Silva Lima et al, 2022</t>
  </si>
  <si>
    <t>N.A.</t>
  </si>
  <si>
    <t>TBD</t>
  </si>
  <si>
    <t>Haque &amp;  Torgate, 2013</t>
  </si>
  <si>
    <t>na</t>
  </si>
  <si>
    <t>If more specific data is available, it should be applied instead of the default (add to "site specific / measured conversion factors" section in the Reporting Template)</t>
  </si>
  <si>
    <r>
      <t xml:space="preserve">Note: </t>
    </r>
    <r>
      <rPr>
        <sz val="11"/>
        <color theme="7"/>
        <rFont val="Open Sans"/>
        <family val="2"/>
        <scheme val="minor"/>
      </rPr>
      <t>The default factors below are agreed upon and updated by worldsteel experts.</t>
    </r>
    <r>
      <rPr>
        <b/>
        <sz val="11"/>
        <color theme="7"/>
        <rFont val="Open Sans"/>
        <family val="2"/>
        <scheme val="minor"/>
      </rPr>
      <t xml:space="preserve"> They are globally, non-specific emission factors, to be utilised in the absence of regional, site or supply-specific data. </t>
    </r>
  </si>
  <si>
    <t>worldsteel (37% conversion efficiency from primary energy)</t>
  </si>
  <si>
    <t>(ref. IEA) 9.8 GJ/MWh * 0.0514 tCO2/GJ = 0.504 tCO2/MWh</t>
  </si>
  <si>
    <t xml:space="preserve">In case there are multiple streams for a single material input (e.g. multiple suppliers of coal with different average carbon content), we recommend creating an aggregate weighted average to represent your input. 
e.g. aggregate carbon content = Σ (Quantityi x EFi) / Σ Quantityi
</t>
  </si>
  <si>
    <t>Bendouma et al, 2020</t>
  </si>
  <si>
    <t>Total</t>
  </si>
  <si>
    <t>Other</t>
  </si>
  <si>
    <t>Flux</t>
  </si>
  <si>
    <t>Iron Units</t>
  </si>
  <si>
    <t>Ferro Alloys /Metals</t>
  </si>
  <si>
    <t>Liquid/ Gas Fuel</t>
  </si>
  <si>
    <t>Waste Gas/ Steam</t>
  </si>
  <si>
    <t>ASP Gases</t>
  </si>
  <si>
    <t>Sinter/ Pellets</t>
  </si>
  <si>
    <t>By Products</t>
  </si>
  <si>
    <t>Scope 1 + 1.1</t>
  </si>
  <si>
    <t>Scope 2</t>
  </si>
  <si>
    <r>
      <t>tCO</t>
    </r>
    <r>
      <rPr>
        <vertAlign val="subscript"/>
        <sz val="10"/>
        <color theme="1" tint="0.499984740745262"/>
        <rFont val="Open Sans"/>
        <family val="2"/>
        <scheme val="minor"/>
      </rPr>
      <t>2</t>
    </r>
    <r>
      <rPr>
        <sz val="10"/>
        <color theme="1" tint="0.499984740745262"/>
        <rFont val="Open Sans"/>
        <family val="2"/>
        <scheme val="minor"/>
      </rPr>
      <t>e</t>
    </r>
    <r>
      <rPr>
        <sz val="10"/>
        <rFont val="Open Sans"/>
        <family val="2"/>
        <scheme val="minor"/>
      </rPr>
      <t xml:space="preserve"> /tfs</t>
    </r>
  </si>
  <si>
    <t>Scope 3</t>
  </si>
  <si>
    <t>CH4, N2O</t>
  </si>
  <si>
    <t>CO2 Equivalent</t>
  </si>
  <si>
    <t>CO2</t>
  </si>
  <si>
    <t>Mining Upstream</t>
  </si>
  <si>
    <t>Coal/ Coke</t>
  </si>
  <si>
    <t>Total (wo Mining)</t>
  </si>
  <si>
    <t>Category</t>
  </si>
  <si>
    <t>Company website:</t>
  </si>
  <si>
    <t>Plant address:</t>
  </si>
  <si>
    <t>Pin Code:</t>
  </si>
  <si>
    <t>Phone No.:</t>
  </si>
  <si>
    <t>Fax No.</t>
  </si>
  <si>
    <t>Contact name:</t>
  </si>
  <si>
    <t>Designation:</t>
  </si>
  <si>
    <t>Phone/Mobile.:</t>
  </si>
  <si>
    <t>Email</t>
  </si>
  <si>
    <t xml:space="preserve">Attach the Plant Layout/ Block Diagram and Operational Flow Diagram, clearly marking the key production stages and associated facilities. </t>
  </si>
  <si>
    <t>Sl. No.</t>
  </si>
  <si>
    <t>Process category</t>
  </si>
  <si>
    <t>Facility Name</t>
  </si>
  <si>
    <t>Numbers</t>
  </si>
  <si>
    <t xml:space="preserve">Describe the plant lay-out and process flow diagram </t>
  </si>
  <si>
    <t>Raw material processing</t>
  </si>
  <si>
    <t>Coke oven</t>
  </si>
  <si>
    <t>Iron making</t>
  </si>
  <si>
    <t>Blast Furnace (BF)</t>
  </si>
  <si>
    <t>Coal- Direct Reduce Iron (DRI)</t>
  </si>
  <si>
    <t>Gas- DRI</t>
  </si>
  <si>
    <t>Corex</t>
  </si>
  <si>
    <t>Steel making</t>
  </si>
  <si>
    <t>Basic Oxygen Furnace (BOF)</t>
  </si>
  <si>
    <t>Electric Arc Furnace</t>
  </si>
  <si>
    <t>Induction Furnace</t>
  </si>
  <si>
    <t>Accessory</t>
  </si>
  <si>
    <t>Air Separation unit</t>
  </si>
  <si>
    <t>Lime/Dolomite plant</t>
  </si>
  <si>
    <t>Captive Power Plant</t>
  </si>
  <si>
    <t>Finished steel mills</t>
  </si>
  <si>
    <t>Hot Rolling Mill</t>
  </si>
  <si>
    <t>Cold Rolling Mill</t>
  </si>
  <si>
    <t>Hot Strip Mill</t>
  </si>
  <si>
    <t>All Other Finishing Mills</t>
  </si>
  <si>
    <t>Basic production information</t>
  </si>
  <si>
    <t>Production</t>
  </si>
  <si>
    <t>Purchase</t>
  </si>
  <si>
    <t>Sold</t>
  </si>
  <si>
    <t>Brunt Lime</t>
  </si>
  <si>
    <t>Hot metal</t>
  </si>
  <si>
    <t>DRI</t>
  </si>
  <si>
    <t xml:space="preserve">BOF/COREX steel </t>
  </si>
  <si>
    <t>EAF/IF steel</t>
  </si>
  <si>
    <t>Total Crude Steel</t>
  </si>
  <si>
    <t>Total Finished Steel</t>
  </si>
  <si>
    <t>Total Steel Scrap</t>
  </si>
  <si>
    <r>
      <t>k Nm</t>
    </r>
    <r>
      <rPr>
        <vertAlign val="superscript"/>
        <sz val="12"/>
        <rFont val="Calibri"/>
        <family val="2"/>
      </rPr>
      <t>3</t>
    </r>
  </si>
  <si>
    <t>Other process gas</t>
  </si>
  <si>
    <t xml:space="preserve">Blast furnace slag </t>
  </si>
  <si>
    <t>Desulphurisation slag</t>
  </si>
  <si>
    <t>BOF/COREX slag</t>
  </si>
  <si>
    <t>EAF/IF slag</t>
  </si>
  <si>
    <t>Secondary slag</t>
  </si>
  <si>
    <t>1 Contact details of the company</t>
  </si>
  <si>
    <t>2 Details of the Plant/Obligated entity</t>
  </si>
  <si>
    <t>3 Production, purchase and sell information</t>
  </si>
  <si>
    <t>Finished Steel (tfs)</t>
  </si>
  <si>
    <t>Unified- CO2 Accounting and Reporting  Template for Green Steel</t>
  </si>
  <si>
    <t>Generation
Production</t>
  </si>
  <si>
    <t>Pellet</t>
  </si>
  <si>
    <t>NOTES</t>
  </si>
  <si>
    <t>DO NOT delete or add any rows or columns in the table.</t>
  </si>
  <si>
    <r>
      <t>t CO</t>
    </r>
    <r>
      <rPr>
        <vertAlign val="subscript"/>
        <sz val="9"/>
        <color theme="1"/>
        <rFont val="Open Sans"/>
        <family val="2"/>
        <scheme val="minor"/>
      </rPr>
      <t>2</t>
    </r>
  </si>
  <si>
    <r>
      <t>t CH</t>
    </r>
    <r>
      <rPr>
        <vertAlign val="subscript"/>
        <sz val="9"/>
        <color theme="1"/>
        <rFont val="Open Sans"/>
        <family val="2"/>
        <scheme val="minor"/>
      </rPr>
      <t>4</t>
    </r>
  </si>
  <si>
    <r>
      <t>t N</t>
    </r>
    <r>
      <rPr>
        <vertAlign val="subscript"/>
        <sz val="9"/>
        <color theme="1"/>
        <rFont val="Open Sans"/>
        <family val="2"/>
        <scheme val="minor"/>
      </rPr>
      <t>2</t>
    </r>
    <r>
      <rPr>
        <sz val="9"/>
        <color theme="1"/>
        <rFont val="Open Sans"/>
        <family val="2"/>
        <scheme val="minor"/>
      </rPr>
      <t>O</t>
    </r>
  </si>
  <si>
    <r>
      <t>t CO</t>
    </r>
    <r>
      <rPr>
        <vertAlign val="subscript"/>
        <sz val="10"/>
        <color theme="1"/>
        <rFont val="Open Sans"/>
        <family val="2"/>
        <scheme val="minor"/>
      </rPr>
      <t>2</t>
    </r>
    <r>
      <rPr>
        <sz val="10"/>
        <color theme="1"/>
        <rFont val="Open Sans"/>
        <family val="2"/>
        <scheme val="minor"/>
      </rPr>
      <t>/unit</t>
    </r>
  </si>
  <si>
    <t>Direct GHG Emission Factors</t>
  </si>
  <si>
    <r>
      <t>t CO</t>
    </r>
    <r>
      <rPr>
        <vertAlign val="subscript"/>
        <sz val="9"/>
        <color theme="1"/>
        <rFont val="Open Sans"/>
        <family val="2"/>
        <scheme val="minor"/>
      </rPr>
      <t>2</t>
    </r>
    <r>
      <rPr>
        <sz val="9"/>
        <color theme="1"/>
        <rFont val="Open Sans"/>
        <family val="2"/>
        <scheme val="minor"/>
      </rPr>
      <t>/unit</t>
    </r>
  </si>
  <si>
    <r>
      <t>t CH</t>
    </r>
    <r>
      <rPr>
        <vertAlign val="subscript"/>
        <sz val="10"/>
        <color theme="1"/>
        <rFont val="Open Sans"/>
        <family val="2"/>
        <scheme val="minor"/>
      </rPr>
      <t>4</t>
    </r>
    <r>
      <rPr>
        <sz val="10"/>
        <color theme="1"/>
        <rFont val="Open Sans"/>
        <family val="2"/>
        <scheme val="minor"/>
      </rPr>
      <t>/unit</t>
    </r>
  </si>
  <si>
    <r>
      <t>t N</t>
    </r>
    <r>
      <rPr>
        <vertAlign val="subscript"/>
        <sz val="10"/>
        <color theme="1"/>
        <rFont val="Open Sans"/>
        <family val="2"/>
        <scheme val="minor"/>
      </rPr>
      <t>2</t>
    </r>
    <r>
      <rPr>
        <sz val="10"/>
        <color theme="1"/>
        <rFont val="Open Sans"/>
        <family val="2"/>
        <scheme val="minor"/>
      </rPr>
      <t>O/unit</t>
    </r>
  </si>
  <si>
    <t>Material Input</t>
  </si>
  <si>
    <t>Material Output</t>
  </si>
  <si>
    <r>
      <t>Upstream
CO</t>
    </r>
    <r>
      <rPr>
        <b/>
        <vertAlign val="subscript"/>
        <sz val="10"/>
        <color theme="1"/>
        <rFont val="Open Sans"/>
        <scheme val="minor"/>
      </rPr>
      <t>2</t>
    </r>
    <r>
      <rPr>
        <b/>
        <sz val="10"/>
        <color theme="1"/>
        <rFont val="Open Sans"/>
        <scheme val="minor"/>
      </rPr>
      <t xml:space="preserve"> value</t>
    </r>
  </si>
  <si>
    <r>
      <t>t CO</t>
    </r>
    <r>
      <rPr>
        <b/>
        <vertAlign val="subscript"/>
        <sz val="9"/>
        <color theme="1"/>
        <rFont val="Open Sans"/>
        <scheme val="minor"/>
      </rPr>
      <t>2</t>
    </r>
    <r>
      <rPr>
        <b/>
        <sz val="9"/>
        <color theme="1"/>
        <rFont val="Open Sans"/>
        <scheme val="minor"/>
      </rPr>
      <t>/MWh</t>
    </r>
  </si>
  <si>
    <t>Scope 1+1.1+2</t>
  </si>
  <si>
    <t>GWP</t>
  </si>
  <si>
    <t>Scope 1</t>
  </si>
  <si>
    <t>Scope 1.1</t>
  </si>
  <si>
    <t>CH4</t>
  </si>
  <si>
    <t>NO2</t>
  </si>
  <si>
    <t>Scope 1+1.1+2+3</t>
  </si>
  <si>
    <t>Total (with CH4 + N2O)</t>
  </si>
  <si>
    <t>Total (CO2)</t>
  </si>
  <si>
    <t>CH4+N2O</t>
  </si>
  <si>
    <t>Conversion and Emission Factors</t>
  </si>
  <si>
    <t>CH4 Emission Factors</t>
  </si>
  <si>
    <t>N2O Emission Factors</t>
  </si>
  <si>
    <r>
      <t>Reference</t>
    </r>
    <r>
      <rPr>
        <i/>
        <sz val="10"/>
        <color theme="1"/>
        <rFont val="Open Sans"/>
        <scheme val="minor"/>
      </rPr>
      <t xml:space="preserve">
Specify any reference or remarks or clarification needed for verification purppose. For example- supporting source for site-specific emission factor</t>
    </r>
  </si>
  <si>
    <t>Give reference for the enteries</t>
  </si>
  <si>
    <t xml:space="preserve">Color coding of cells </t>
  </si>
  <si>
    <t>SUMMARY TABLE</t>
  </si>
  <si>
    <t>5. GHG estimation table</t>
  </si>
  <si>
    <t>Summary table</t>
  </si>
  <si>
    <t>4. Electricity information</t>
  </si>
  <si>
    <t>Purchased Steel</t>
  </si>
  <si>
    <t>HR Products</t>
  </si>
  <si>
    <t>CR Products</t>
  </si>
  <si>
    <t>Re-rolled Products</t>
  </si>
  <si>
    <t>GP/GC Products</t>
  </si>
  <si>
    <t>Color Coated Products</t>
  </si>
  <si>
    <t>Pipes</t>
  </si>
  <si>
    <t>Tin plates</t>
  </si>
  <si>
    <t>GHG emission as CH4 and N2O</t>
  </si>
  <si>
    <t>COMPANY-LEVEL SPECIFIC EMISSION
SUMMARY TABLE</t>
  </si>
  <si>
    <t>Steel</t>
  </si>
  <si>
    <t>Crude Steel</t>
  </si>
  <si>
    <t>Steel Products HR</t>
  </si>
  <si>
    <t>Steel Products CR</t>
  </si>
  <si>
    <t>Steel Scrap</t>
  </si>
  <si>
    <t>Hot metal/ Pig Iron</t>
  </si>
  <si>
    <t>COMPANY-LEVEL TOTAL  EMISSION
SUMMARY TABLE</t>
  </si>
  <si>
    <t>Stakeholders (Leading Iron and Steel industries in India) consultations were conducted to understand GHG reporting requirements, practices and suitable GHG accounting template that can be utilised by integrated, Non-integrated as well as Finished steel making plants in India.</t>
  </si>
  <si>
    <t>This template is based on latest WSA GHG reporting tempate (2025), most preferred by the steel plants, which has been modified in order to make it unified, simplified and suitable for all types Indian Iron and Steel Plant processes.</t>
  </si>
  <si>
    <r>
      <t xml:space="preserve">The template also provides </t>
    </r>
    <r>
      <rPr>
        <sz val="14"/>
        <color theme="7" tint="0.39997558519241921"/>
        <rFont val="Calibri"/>
        <family val="2"/>
      </rPr>
      <t>provision to estimate CH4 and N2O emission and equivalent CO2 acounting for the Iron &amp; Steel Sector.</t>
    </r>
  </si>
  <si>
    <r>
      <t xml:space="preserve">The template provides Provision to estimate all- Scope 1,1.1,2 and partial scope 3 GHG accounting. Provision </t>
    </r>
    <r>
      <rPr>
        <u/>
        <sz val="14"/>
        <rFont val="Calibri"/>
        <family val="2"/>
      </rPr>
      <t>for extended Scope 3 (including mining of raw material and fuel) has also been included.</t>
    </r>
  </si>
  <si>
    <r>
      <t>Specify the verifiable reference/source of- used Factors/Emission Factors or, Site-monitored data in the respective row/column/cell (for the verification purpose).</t>
    </r>
    <r>
      <rPr>
        <u/>
        <sz val="14"/>
        <rFont val="Calibri"/>
        <family val="2"/>
      </rPr>
      <t xml:space="preserve"> </t>
    </r>
  </si>
  <si>
    <t>The template provides option to utilize I. Site-monitored data II. WSA- recommended Emission Factors in order to estimate CO2 emission.</t>
  </si>
  <si>
    <t>1. Company -Level Total Emission, tCO2e</t>
  </si>
  <si>
    <t>2. Company -Level Specific Emission, tCO2e /tfs</t>
  </si>
  <si>
    <t xml:space="preserve">This GHG Accounting Template is meant to offer a unified and simplified template for The Iron and Steel Sector. </t>
  </si>
  <si>
    <t>Unified- GHG Accounting Template for the Iron and Steel Sector</t>
  </si>
  <si>
    <t>Contact Detail of the Plant</t>
  </si>
  <si>
    <t>Company address:</t>
  </si>
  <si>
    <t>Contact Detail of the Compoany</t>
  </si>
  <si>
    <t>Name of the Company</t>
  </si>
  <si>
    <t>Plant Name:</t>
  </si>
  <si>
    <t>Capacity (Tonnes)</t>
  </si>
  <si>
    <t>3 Production, Purchase and Sell information</t>
  </si>
  <si>
    <t>Embodied emissions of purchased products shall be taken from India-specific Emission Factor, or, from verified Environment Product Declaration (EPD)</t>
  </si>
  <si>
    <t>8.i. For purchased intermediates (Pig iron, DRI, Purchased Crude Steel, Purchased HR/CR/Finished steel): India-specific Emission Factors shall be ideally used.</t>
  </si>
  <si>
    <t>7.i. Additionally, provide Plant-Level Block-Diagram, Process-Flow Diagram, Accredited third-party reports used for site-monitored data for verification purpose.</t>
  </si>
  <si>
    <t xml:space="preserve">A separate sheet for WSA- Default Conversion and Emission Factors has been provided for reference. </t>
  </si>
  <si>
    <t>Three Plant-Level Reporting sheets have been provided which sum-up to a Company-Level Reporting sheet. Reporting companies can add (n) number of plant and add into Company-Level Reporting sheet. The GHG Accounting Template flow-digram is depicted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</si>
</sst>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0.0"/>
    <numFmt numFmtId="166" formatCode="_-* #,##0_-;\-* #,##0_-;_-* &quot;-&quot;??_-;_-@_-"/>
    <numFmt numFmtId="167" formatCode="0.000"/>
    <numFmt numFmtId="168" formatCode="#\ ###\ ##0"/>
    <numFmt numFmtId="169" formatCode="0.000000"/>
    <numFmt numFmtId="170" formatCode="#,##0.000"/>
    <numFmt numFmtId="171" formatCode="#,##0.000000"/>
    <numFmt numFmtId="172" formatCode="#,##0.00_ ;\-#,##0.00_ ;&quot;-&quot;??_ ;_ @_ "/>
  </numFmts>
  <fonts count="79" x14ac:knownFonts="1">
    <font>
      <sz val="11"/>
      <color theme="1"/>
      <name val="Open Sans"/>
      <family val="2"/>
      <scheme val="minor"/>
    </font>
    <font>
      <sz val="12"/>
      <color theme="1"/>
      <name val="Open Sans"/>
      <family val="2"/>
      <scheme val="minor"/>
    </font>
    <font>
      <sz val="11"/>
      <color theme="1"/>
      <name val="Open Sans"/>
      <family val="2"/>
      <scheme val="minor"/>
    </font>
    <font>
      <sz val="8"/>
      <name val="Comic Sans MS"/>
      <family val="4"/>
    </font>
    <font>
      <sz val="8"/>
      <name val="Arial"/>
      <family val="2"/>
    </font>
    <font>
      <vertAlign val="subscript"/>
      <sz val="8"/>
      <name val="Arial"/>
      <family val="2"/>
    </font>
    <font>
      <sz val="8"/>
      <color theme="1"/>
      <name val="Arial"/>
      <family val="2"/>
    </font>
    <font>
      <sz val="10"/>
      <name val="Open Sans"/>
      <family val="2"/>
      <scheme val="minor"/>
    </font>
    <font>
      <vertAlign val="subscript"/>
      <sz val="10"/>
      <name val="Open Sans"/>
      <family val="2"/>
      <scheme val="minor"/>
    </font>
    <font>
      <sz val="10"/>
      <color theme="1"/>
      <name val="Open Sans"/>
      <family val="2"/>
      <scheme val="minor"/>
    </font>
    <font>
      <b/>
      <sz val="10"/>
      <name val="Open Sans"/>
      <family val="2"/>
      <scheme val="minor"/>
    </font>
    <font>
      <sz val="10"/>
      <color rgb="FFFF0000"/>
      <name val="Open Sans"/>
      <family val="2"/>
      <scheme val="minor"/>
    </font>
    <font>
      <sz val="10"/>
      <color theme="6" tint="0.39997558519241921"/>
      <name val="Open Sans"/>
      <family val="2"/>
      <scheme val="minor"/>
    </font>
    <font>
      <sz val="8"/>
      <color theme="8"/>
      <name val="Open Sans"/>
      <family val="2"/>
      <scheme val="minor"/>
    </font>
    <font>
      <sz val="9"/>
      <name val="Open Sans"/>
      <family val="2"/>
      <scheme val="minor"/>
    </font>
    <font>
      <sz val="9"/>
      <color theme="1"/>
      <name val="Open Sans"/>
      <family val="2"/>
      <scheme val="minor"/>
    </font>
    <font>
      <sz val="8"/>
      <color theme="1"/>
      <name val="Open Sans"/>
      <family val="2"/>
      <scheme val="minor"/>
    </font>
    <font>
      <sz val="10"/>
      <color theme="8"/>
      <name val="Open Sans"/>
      <family val="2"/>
      <scheme val="minor"/>
    </font>
    <font>
      <sz val="10"/>
      <color theme="1" tint="0.499984740745262"/>
      <name val="Open Sans"/>
      <family val="2"/>
      <scheme val="minor"/>
    </font>
    <font>
      <vertAlign val="subscript"/>
      <sz val="10"/>
      <color theme="1" tint="0.499984740745262"/>
      <name val="Open Sans"/>
      <family val="2"/>
      <scheme val="minor"/>
    </font>
    <font>
      <vertAlign val="superscript"/>
      <sz val="10"/>
      <color theme="1" tint="0.499984740745262"/>
      <name val="Open Sans"/>
      <family val="2"/>
      <scheme val="minor"/>
    </font>
    <font>
      <sz val="10"/>
      <color theme="6" tint="0.59999389629810485"/>
      <name val="Open Sans"/>
      <family val="2"/>
      <scheme val="minor"/>
    </font>
    <font>
      <i/>
      <sz val="8"/>
      <color theme="6" tint="0.59999389629810485"/>
      <name val="Open Sans"/>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9"/>
      <color theme="6"/>
      <name val="Open Sans"/>
      <family val="2"/>
      <scheme val="minor"/>
    </font>
    <font>
      <sz val="9"/>
      <color rgb="FFFF0000"/>
      <name val="Open Sans"/>
      <family val="2"/>
      <scheme val="minor"/>
    </font>
    <font>
      <i/>
      <sz val="10"/>
      <color theme="8"/>
      <name val="Open Sans"/>
      <family val="2"/>
      <scheme val="minor"/>
    </font>
    <font>
      <b/>
      <sz val="10"/>
      <color theme="1"/>
      <name val="Open Sans"/>
      <family val="2"/>
      <scheme val="minor"/>
    </font>
    <font>
      <u/>
      <sz val="11"/>
      <color theme="10"/>
      <name val="Open Sans"/>
      <family val="2"/>
      <scheme val="minor"/>
    </font>
    <font>
      <u/>
      <sz val="9"/>
      <color theme="10"/>
      <name val="Open Sans"/>
      <family val="2"/>
      <scheme val="minor"/>
    </font>
    <font>
      <b/>
      <sz val="11"/>
      <color theme="7"/>
      <name val="Open Sans"/>
      <family val="2"/>
      <scheme val="minor"/>
    </font>
    <font>
      <sz val="11"/>
      <color theme="7"/>
      <name val="Open Sans"/>
      <family val="2"/>
      <scheme val="minor"/>
    </font>
    <font>
      <sz val="11"/>
      <color rgb="FF9C0006"/>
      <name val="Open Sans"/>
      <family val="2"/>
      <scheme val="minor"/>
    </font>
    <font>
      <b/>
      <sz val="10"/>
      <color theme="0"/>
      <name val="Open Sans"/>
      <family val="2"/>
      <scheme val="minor"/>
    </font>
    <font>
      <b/>
      <sz val="9"/>
      <color theme="0"/>
      <name val="Open Sans"/>
      <family val="2"/>
      <scheme val="minor"/>
    </font>
    <font>
      <b/>
      <i/>
      <sz val="9"/>
      <color theme="1"/>
      <name val="Open Sans"/>
      <family val="2"/>
      <scheme val="minor"/>
    </font>
    <font>
      <b/>
      <i/>
      <sz val="9"/>
      <color theme="0"/>
      <name val="Open Sans"/>
      <family val="2"/>
      <scheme val="minor"/>
    </font>
    <font>
      <b/>
      <i/>
      <sz val="10"/>
      <color theme="0"/>
      <name val="Open Sans"/>
      <family val="2"/>
      <scheme val="minor"/>
    </font>
    <font>
      <sz val="9"/>
      <color rgb="FF9C0006"/>
      <name val="Open Sans"/>
      <family val="2"/>
      <scheme val="minor"/>
    </font>
    <font>
      <b/>
      <sz val="12"/>
      <name val="Calibri"/>
      <family val="2"/>
    </font>
    <font>
      <sz val="12"/>
      <name val="Calibri"/>
      <family val="2"/>
    </font>
    <font>
      <sz val="12"/>
      <color theme="1"/>
      <name val="Calibri"/>
      <family val="2"/>
    </font>
    <font>
      <b/>
      <sz val="12"/>
      <color rgb="FF0070C0"/>
      <name val="Calibri"/>
      <family val="2"/>
    </font>
    <font>
      <b/>
      <sz val="12"/>
      <color theme="1"/>
      <name val="Calibri"/>
      <family val="2"/>
    </font>
    <font>
      <vertAlign val="superscript"/>
      <sz val="12"/>
      <name val="Calibri"/>
      <family val="2"/>
    </font>
    <font>
      <b/>
      <sz val="26"/>
      <color rgb="FF0070C0"/>
      <name val="Calibri"/>
      <family val="2"/>
    </font>
    <font>
      <sz val="11"/>
      <name val="Open Sans"/>
      <family val="2"/>
      <scheme val="minor"/>
    </font>
    <font>
      <vertAlign val="subscript"/>
      <sz val="9"/>
      <color theme="1"/>
      <name val="Open Sans"/>
      <family val="2"/>
      <scheme val="minor"/>
    </font>
    <font>
      <b/>
      <sz val="10"/>
      <name val="Open Sans"/>
      <scheme val="minor"/>
    </font>
    <font>
      <vertAlign val="subscript"/>
      <sz val="10"/>
      <color theme="1"/>
      <name val="Open Sans"/>
      <family val="2"/>
      <scheme val="minor"/>
    </font>
    <font>
      <i/>
      <sz val="9"/>
      <color theme="1"/>
      <name val="Open Sans"/>
      <family val="2"/>
      <scheme val="minor"/>
    </font>
    <font>
      <b/>
      <sz val="10"/>
      <color theme="1"/>
      <name val="Open Sans"/>
      <scheme val="minor"/>
    </font>
    <font>
      <b/>
      <vertAlign val="subscript"/>
      <sz val="10"/>
      <color theme="1"/>
      <name val="Open Sans"/>
      <scheme val="minor"/>
    </font>
    <font>
      <b/>
      <sz val="9"/>
      <color theme="1"/>
      <name val="Open Sans"/>
      <scheme val="minor"/>
    </font>
    <font>
      <b/>
      <vertAlign val="subscript"/>
      <sz val="9"/>
      <color theme="1"/>
      <name val="Open Sans"/>
      <scheme val="minor"/>
    </font>
    <font>
      <sz val="10"/>
      <color theme="1"/>
      <name val="Open Sans"/>
      <scheme val="minor"/>
    </font>
    <font>
      <b/>
      <sz val="20"/>
      <color theme="1"/>
      <name val="Open Sans"/>
      <scheme val="minor"/>
    </font>
    <font>
      <i/>
      <sz val="10"/>
      <color theme="1"/>
      <name val="Open Sans"/>
      <scheme val="minor"/>
    </font>
    <font>
      <b/>
      <i/>
      <sz val="10"/>
      <color theme="1"/>
      <name val="Open Sans"/>
      <scheme val="minor"/>
    </font>
    <font>
      <i/>
      <sz val="8"/>
      <name val="Open Sans"/>
      <scheme val="minor"/>
    </font>
    <font>
      <b/>
      <sz val="14"/>
      <color theme="1"/>
      <name val="Open Sans"/>
      <scheme val="minor"/>
    </font>
    <font>
      <b/>
      <sz val="14"/>
      <color theme="1"/>
      <name val="Open Sans"/>
      <family val="2"/>
      <scheme val="minor"/>
    </font>
    <font>
      <sz val="14"/>
      <color theme="1"/>
      <name val="Open Sans"/>
      <family val="2"/>
      <scheme val="minor"/>
    </font>
    <font>
      <sz val="14"/>
      <name val="Calibri"/>
      <family val="2"/>
    </font>
    <font>
      <sz val="14"/>
      <color theme="7" tint="0.39997558519241921"/>
      <name val="Calibri"/>
      <family val="2"/>
    </font>
    <font>
      <u/>
      <sz val="14"/>
      <name val="Calibri"/>
      <family val="2"/>
    </font>
    <font>
      <b/>
      <sz val="14"/>
      <name val="Calibri"/>
      <family val="2"/>
    </font>
    <font>
      <b/>
      <sz val="12"/>
      <color rgb="FFFF0000"/>
      <name val="Calibri"/>
      <family val="2"/>
    </font>
    <font>
      <i/>
      <sz val="8"/>
      <color theme="1"/>
      <name val="Open Sans"/>
      <scheme val="minor"/>
    </font>
    <font>
      <b/>
      <sz val="16"/>
      <color theme="0"/>
      <name val="Open Sans"/>
      <scheme val="minor"/>
    </font>
    <font>
      <sz val="10"/>
      <color rgb="FF000000"/>
      <name val="Tahoma"/>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BED7A5"/>
        <bgColor indexed="64"/>
      </patternFill>
    </fill>
    <fill>
      <patternFill patternType="solid">
        <fgColor theme="1" tint="0.499984740745262"/>
        <bgColor indexed="64"/>
      </patternFill>
    </fill>
    <fill>
      <patternFill patternType="solid">
        <fgColor rgb="FFFFC7CE"/>
      </patternFill>
    </fill>
    <fill>
      <patternFill patternType="solid">
        <fgColor rgb="FF002060"/>
        <bgColor indexed="64"/>
      </patternFill>
    </fill>
    <fill>
      <patternFill patternType="solid">
        <fgColor theme="8"/>
        <bgColor indexed="64"/>
      </patternFill>
    </fill>
    <fill>
      <patternFill patternType="solid">
        <fgColor theme="5" tint="0.79998168889431442"/>
        <bgColor indexed="64"/>
      </patternFill>
    </fill>
    <fill>
      <patternFill patternType="solid">
        <fgColor theme="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rgb="FFFFFFFF"/>
        <bgColor rgb="FFFFFFCC"/>
      </patternFill>
    </fill>
    <fill>
      <patternFill patternType="solid">
        <fgColor theme="7" tint="0.59999389629810485"/>
        <bgColor indexed="64"/>
      </patternFill>
    </fill>
    <fill>
      <patternFill patternType="solid">
        <fgColor theme="1"/>
        <bgColor indexed="64"/>
      </patternFill>
    </fill>
  </fills>
  <borders count="117">
    <border>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dotted">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dotted">
        <color indexed="64"/>
      </right>
      <top style="hair">
        <color indexed="64"/>
      </top>
      <bottom style="hair">
        <color indexed="64"/>
      </bottom>
      <diagonal/>
    </border>
    <border>
      <left/>
      <right style="dotted">
        <color indexed="64"/>
      </right>
      <top style="thin">
        <color indexed="64"/>
      </top>
      <bottom/>
      <diagonal/>
    </border>
    <border>
      <left/>
      <right style="dotted">
        <color indexed="64"/>
      </right>
      <top/>
      <bottom/>
      <diagonal/>
    </border>
    <border>
      <left style="hair">
        <color auto="1"/>
      </left>
      <right/>
      <top/>
      <bottom style="hair">
        <color auto="1"/>
      </bottom>
      <diagonal/>
    </border>
    <border>
      <left style="hair">
        <color auto="1"/>
      </left>
      <right/>
      <top style="hair">
        <color auto="1"/>
      </top>
      <bottom style="hair">
        <color auto="1"/>
      </bottom>
      <diagonal/>
    </border>
    <border>
      <left style="hair">
        <color auto="1"/>
      </left>
      <right style="hair">
        <color theme="0"/>
      </right>
      <top style="hair">
        <color theme="0"/>
      </top>
      <bottom style="hair">
        <color theme="0"/>
      </bottom>
      <diagonal/>
    </border>
    <border>
      <left style="hair">
        <color theme="0"/>
      </left>
      <right style="hair">
        <color auto="1"/>
      </right>
      <top style="hair">
        <color theme="0"/>
      </top>
      <bottom style="hair">
        <color theme="0"/>
      </bottom>
      <diagonal/>
    </border>
    <border>
      <left style="hair">
        <color theme="0"/>
      </left>
      <right style="hair">
        <color auto="1"/>
      </right>
      <top style="hair">
        <color theme="0"/>
      </top>
      <bottom style="hair">
        <color auto="1"/>
      </bottom>
      <diagonal/>
    </border>
    <border>
      <left style="hair">
        <color theme="0"/>
      </left>
      <right style="hair">
        <color theme="0"/>
      </right>
      <top style="hair">
        <color theme="0"/>
      </top>
      <bottom style="hair">
        <color theme="0"/>
      </bottom>
      <diagonal/>
    </border>
    <border>
      <left style="hair">
        <color theme="0"/>
      </left>
      <right style="hair">
        <color theme="0"/>
      </right>
      <top style="hair">
        <color theme="0"/>
      </top>
      <bottom style="hair">
        <color auto="1"/>
      </bottom>
      <diagonal/>
    </border>
    <border>
      <left/>
      <right style="hair">
        <color theme="0"/>
      </right>
      <top style="hair">
        <color theme="0"/>
      </top>
      <bottom style="hair">
        <color theme="0"/>
      </bottom>
      <diagonal/>
    </border>
    <border>
      <left/>
      <right style="hair">
        <color theme="0"/>
      </right>
      <top style="hair">
        <color theme="0"/>
      </top>
      <bottom style="hair">
        <color auto="1"/>
      </bottom>
      <diagonal/>
    </border>
    <border>
      <left style="hair">
        <color theme="0"/>
      </left>
      <right style="hair">
        <color theme="0"/>
      </right>
      <top style="hair">
        <color auto="1"/>
      </top>
      <bottom style="hair">
        <color auto="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right/>
      <top/>
      <bottom style="thin">
        <color indexed="64"/>
      </bottom>
      <diagonal/>
    </border>
    <border>
      <left style="hair">
        <color theme="0"/>
      </left>
      <right style="hair">
        <color theme="0"/>
      </right>
      <top/>
      <bottom style="hair">
        <color auto="1"/>
      </bottom>
      <diagonal/>
    </border>
    <border>
      <left style="hair">
        <color theme="0"/>
      </left>
      <right/>
      <top style="hair">
        <color theme="0"/>
      </top>
      <bottom style="hair">
        <color theme="0"/>
      </bottom>
      <diagonal/>
    </border>
    <border>
      <left style="hair">
        <color theme="0"/>
      </left>
      <right/>
      <top style="hair">
        <color theme="0"/>
      </top>
      <bottom style="hair">
        <color auto="1"/>
      </bottom>
      <diagonal/>
    </border>
    <border>
      <left/>
      <right style="hair">
        <color theme="0"/>
      </right>
      <top style="hair">
        <color auto="1"/>
      </top>
      <bottom style="hair">
        <color auto="1"/>
      </bottom>
      <diagonal/>
    </border>
    <border>
      <left/>
      <right style="hair">
        <color theme="0"/>
      </right>
      <top/>
      <bottom style="hair">
        <color theme="0"/>
      </bottom>
      <diagonal/>
    </border>
    <border>
      <left style="hair">
        <color theme="0"/>
      </left>
      <right style="hair">
        <color theme="0"/>
      </right>
      <top/>
      <bottom style="hair">
        <color theme="0"/>
      </bottom>
      <diagonal/>
    </border>
    <border>
      <left style="hair">
        <color theme="0"/>
      </left>
      <right/>
      <top/>
      <bottom style="hair">
        <color theme="0"/>
      </bottom>
      <diagonal/>
    </border>
    <border>
      <left style="hair">
        <color theme="0"/>
      </left>
      <right style="hair">
        <color auto="1"/>
      </right>
      <top/>
      <bottom style="hair">
        <color theme="0"/>
      </bottom>
      <diagonal/>
    </border>
    <border>
      <left style="hair">
        <color theme="0"/>
      </left>
      <right style="thin">
        <color indexed="64"/>
      </right>
      <top style="hair">
        <color auto="1"/>
      </top>
      <bottom style="hair">
        <color auto="1"/>
      </bottom>
      <diagonal/>
    </border>
    <border>
      <left style="thin">
        <color indexed="64"/>
      </left>
      <right style="hair">
        <color theme="0"/>
      </right>
      <top style="hair">
        <color auto="1"/>
      </top>
      <bottom style="hair">
        <color auto="1"/>
      </bottom>
      <diagonal/>
    </border>
    <border>
      <left style="thin">
        <color indexed="64"/>
      </left>
      <right style="hair">
        <color theme="0"/>
      </right>
      <top style="hair">
        <color auto="1"/>
      </top>
      <bottom style="thin">
        <color indexed="64"/>
      </bottom>
      <diagonal/>
    </border>
    <border>
      <left style="hair">
        <color theme="0"/>
      </left>
      <right style="thin">
        <color indexed="64"/>
      </right>
      <top style="hair">
        <color auto="1"/>
      </top>
      <bottom style="thin">
        <color indexed="64"/>
      </bottom>
      <diagonal/>
    </border>
    <border>
      <left/>
      <right/>
      <top style="thin">
        <color indexed="64"/>
      </top>
      <bottom/>
      <diagonal/>
    </border>
    <border>
      <left style="hair">
        <color theme="0"/>
      </left>
      <right style="hair">
        <color theme="0"/>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hair">
        <color theme="0"/>
      </right>
      <top/>
      <bottom style="hair">
        <color auto="1"/>
      </bottom>
      <diagonal/>
    </border>
    <border>
      <left style="hair">
        <color theme="0"/>
      </left>
      <right style="thin">
        <color indexed="64"/>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rgb="FF000000"/>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auto="1"/>
      </left>
      <right style="hair">
        <color theme="0"/>
      </right>
      <top/>
      <bottom style="hair">
        <color theme="0"/>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hair">
        <color auto="1"/>
      </left>
      <right/>
      <top style="hair">
        <color auto="1"/>
      </top>
      <bottom style="thin">
        <color indexed="64"/>
      </bottom>
      <diagonal/>
    </border>
    <border>
      <left style="hair">
        <color auto="1"/>
      </left>
      <right style="hair">
        <color theme="0"/>
      </right>
      <top style="hair">
        <color theme="0"/>
      </top>
      <bottom style="thin">
        <color indexed="64"/>
      </bottom>
      <diagonal/>
    </border>
    <border>
      <left style="hair">
        <color theme="0"/>
      </left>
      <right style="hair">
        <color auto="1"/>
      </right>
      <top style="hair">
        <color theme="0"/>
      </top>
      <bottom style="thin">
        <color indexed="64"/>
      </bottom>
      <diagonal/>
    </border>
    <border>
      <left style="hair">
        <color theme="0"/>
      </left>
      <right style="hair">
        <color theme="0"/>
      </right>
      <top style="hair">
        <color theme="0"/>
      </top>
      <bottom style="thin">
        <color indexed="64"/>
      </bottom>
      <diagonal/>
    </border>
    <border>
      <left style="hair">
        <color theme="0"/>
      </left>
      <right/>
      <top style="hair">
        <color theme="0"/>
      </top>
      <bottom style="thin">
        <color indexed="64"/>
      </bottom>
      <diagonal/>
    </border>
    <border>
      <left/>
      <right style="hair">
        <color auto="1"/>
      </right>
      <top style="hair">
        <color theme="0"/>
      </top>
      <bottom style="thin">
        <color indexed="64"/>
      </bottom>
      <diagonal/>
    </border>
    <border>
      <left style="hair">
        <color auto="1"/>
      </left>
      <right/>
      <top style="medium">
        <color indexed="64"/>
      </top>
      <bottom style="hair">
        <color auto="1"/>
      </bottom>
      <diagonal/>
    </border>
    <border>
      <left style="hair">
        <color theme="0"/>
      </left>
      <right style="hair">
        <color theme="0"/>
      </right>
      <top style="medium">
        <color indexed="64"/>
      </top>
      <bottom style="hair">
        <color auto="1"/>
      </bottom>
      <diagonal/>
    </border>
    <border>
      <left style="hair">
        <color theme="0"/>
      </left>
      <right style="thin">
        <color indexed="64"/>
      </right>
      <top style="medium">
        <color indexed="64"/>
      </top>
      <bottom style="hair">
        <color auto="1"/>
      </bottom>
      <diagonal/>
    </border>
    <border>
      <left/>
      <right style="hair">
        <color theme="0"/>
      </right>
      <top style="medium">
        <color indexed="64"/>
      </top>
      <bottom style="hair">
        <color auto="1"/>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auto="1"/>
      </top>
      <bottom style="medium">
        <color indexed="64"/>
      </bottom>
      <diagonal/>
    </border>
    <border>
      <left style="hair">
        <color auto="1"/>
      </left>
      <right/>
      <top style="hair">
        <color auto="1"/>
      </top>
      <bottom style="medium">
        <color indexed="64"/>
      </bottom>
      <diagonal/>
    </border>
    <border>
      <left style="hair">
        <color auto="1"/>
      </left>
      <right style="hair">
        <color theme="0"/>
      </right>
      <top style="hair">
        <color auto="1"/>
      </top>
      <bottom style="medium">
        <color indexed="64"/>
      </bottom>
      <diagonal/>
    </border>
    <border>
      <left style="hair">
        <color theme="0"/>
      </left>
      <right style="hair">
        <color theme="0"/>
      </right>
      <top style="hair">
        <color auto="1"/>
      </top>
      <bottom style="medium">
        <color indexed="64"/>
      </bottom>
      <diagonal/>
    </border>
    <border>
      <left style="hair">
        <color theme="0"/>
      </left>
      <right style="medium">
        <color indexed="64"/>
      </right>
      <top style="hair">
        <color auto="1"/>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hair">
        <color theme="0"/>
      </left>
      <right style="medium">
        <color indexed="64"/>
      </right>
      <top/>
      <bottom style="hair">
        <color auto="1"/>
      </bottom>
      <diagonal/>
    </border>
    <border>
      <left style="hair">
        <color theme="0"/>
      </left>
      <right style="medium">
        <color indexed="64"/>
      </right>
      <top style="hair">
        <color auto="1"/>
      </top>
      <bottom style="hair">
        <color auto="1"/>
      </bottom>
      <diagonal/>
    </border>
    <border>
      <left style="hair">
        <color theme="0"/>
      </left>
      <right style="medium">
        <color indexed="64"/>
      </right>
      <top style="hair">
        <color auto="1"/>
      </top>
      <bottom style="thin">
        <color indexed="64"/>
      </bottom>
      <diagonal/>
    </border>
    <border>
      <left style="thin">
        <color indexed="64"/>
      </left>
      <right style="hair">
        <color theme="0"/>
      </right>
      <top/>
      <bottom style="medium">
        <color indexed="64"/>
      </bottom>
      <diagonal/>
    </border>
    <border>
      <left style="hair">
        <color theme="0"/>
      </left>
      <right style="hair">
        <color theme="0"/>
      </right>
      <top/>
      <bottom style="medium">
        <color indexed="64"/>
      </bottom>
      <diagonal/>
    </border>
    <border>
      <left style="hair">
        <color theme="0"/>
      </left>
      <right style="thin">
        <color indexed="64"/>
      </right>
      <top/>
      <bottom style="medium">
        <color indexed="64"/>
      </bottom>
      <diagonal/>
    </border>
    <border>
      <left style="thin">
        <color indexed="64"/>
      </left>
      <right style="thin">
        <color indexed="64"/>
      </right>
      <top/>
      <bottom style="medium">
        <color indexed="64"/>
      </bottom>
      <diagonal/>
    </border>
    <border>
      <left style="hair">
        <color theme="0"/>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theme="0"/>
      </left>
      <right style="medium">
        <color indexed="64"/>
      </right>
      <top style="medium">
        <color indexed="64"/>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style="hair">
        <color theme="0"/>
      </right>
      <top/>
      <bottom/>
      <diagonal/>
    </border>
    <border>
      <left style="hair">
        <color auto="1"/>
      </left>
      <right style="hair">
        <color theme="0"/>
      </right>
      <top/>
      <bottom style="thin">
        <color indexed="64"/>
      </bottom>
      <diagonal/>
    </border>
  </borders>
  <cellStyleXfs count="63">
    <xf numFmtId="0" fontId="0" fillId="0" borderId="0"/>
    <xf numFmtId="164" fontId="2" fillId="0" borderId="0" applyFont="0" applyFill="0" applyBorder="0" applyAlignment="0" applyProtection="0"/>
    <xf numFmtId="3" fontId="3" fillId="0" borderId="0">
      <alignment vertical="center"/>
    </xf>
    <xf numFmtId="164" fontId="3" fillId="0" borderId="0" applyFont="0" applyFill="0" applyBorder="0" applyAlignment="0" applyProtection="0"/>
    <xf numFmtId="0" fontId="2" fillId="0" borderId="0"/>
    <xf numFmtId="164" fontId="2" fillId="0" borderId="0" applyFont="0" applyFill="0" applyBorder="0" applyAlignment="0" applyProtection="0"/>
    <xf numFmtId="0" fontId="23" fillId="0" borderId="33" applyNumberFormat="0" applyFill="0" applyProtection="0">
      <alignment horizontal="center" vertical="center"/>
    </xf>
    <xf numFmtId="3" fontId="24" fillId="0" borderId="34" applyFont="0" applyFill="0" applyAlignment="0" applyProtection="0"/>
    <xf numFmtId="3" fontId="24" fillId="0" borderId="34" applyFont="0" applyFill="0" applyAlignment="0" applyProtection="0"/>
    <xf numFmtId="3" fontId="24" fillId="0" borderId="34" applyFont="0" applyFill="0" applyAlignment="0" applyProtection="0"/>
    <xf numFmtId="3" fontId="24" fillId="0" borderId="34" applyFont="0" applyFill="0" applyAlignment="0" applyProtection="0"/>
    <xf numFmtId="3" fontId="24" fillId="0" borderId="34" applyFont="0" applyFill="0" applyAlignment="0" applyProtection="0"/>
    <xf numFmtId="3" fontId="24" fillId="0" borderId="34" applyFont="0" applyFill="0" applyAlignment="0" applyProtection="0"/>
    <xf numFmtId="3" fontId="24" fillId="0" borderId="34" applyFont="0" applyFill="0" applyAlignment="0" applyProtection="0"/>
    <xf numFmtId="3" fontId="24" fillId="0" borderId="34" applyFont="0" applyFill="0" applyAlignment="0" applyProtection="0"/>
    <xf numFmtId="3" fontId="23" fillId="0" borderId="33" applyNumberFormat="0" applyFill="0" applyAlignment="0" applyProtection="0"/>
    <xf numFmtId="0" fontId="23" fillId="0" borderId="33" applyNumberFormat="0" applyFill="0" applyAlignment="0" applyProtection="0"/>
    <xf numFmtId="3" fontId="23" fillId="0" borderId="33" applyNumberFormat="0" applyFill="0" applyAlignment="0" applyProtection="0"/>
    <xf numFmtId="0" fontId="23" fillId="0" borderId="33" applyNumberFormat="0" applyFill="0" applyAlignment="0" applyProtection="0"/>
    <xf numFmtId="0" fontId="23" fillId="0" borderId="33" applyNumberFormat="0" applyFill="0" applyAlignment="0" applyProtection="0"/>
    <xf numFmtId="0" fontId="23" fillId="0" borderId="33" applyNumberFormat="0" applyFill="0" applyAlignment="0" applyProtection="0"/>
    <xf numFmtId="0" fontId="23" fillId="0" borderId="33" applyNumberFormat="0" applyFill="0" applyAlignment="0" applyProtection="0"/>
    <xf numFmtId="0" fontId="23" fillId="0" borderId="33" applyNumberFormat="0" applyFill="0" applyAlignment="0" applyProtection="0"/>
    <xf numFmtId="3" fontId="24" fillId="0" borderId="0" applyNumberFormat="0" applyBorder="0" applyAlignment="0" applyProtection="0"/>
    <xf numFmtId="3" fontId="24" fillId="0" borderId="0" applyNumberFormat="0" applyBorder="0" applyAlignment="0" applyProtection="0"/>
    <xf numFmtId="3" fontId="24" fillId="0" borderId="0" applyNumberFormat="0" applyBorder="0" applyAlignment="0" applyProtection="0"/>
    <xf numFmtId="3" fontId="24" fillId="0" borderId="0" applyNumberFormat="0" applyBorder="0" applyAlignment="0" applyProtection="0"/>
    <xf numFmtId="3" fontId="24" fillId="0" borderId="0" applyNumberFormat="0" applyBorder="0" applyAlignment="0" applyProtection="0"/>
    <xf numFmtId="3" fontId="24" fillId="0" borderId="34" applyNumberFormat="0" applyBorder="0" applyAlignment="0" applyProtection="0"/>
    <xf numFmtId="3" fontId="24" fillId="0" borderId="34" applyNumberFormat="0" applyBorder="0" applyAlignment="0" applyProtection="0"/>
    <xf numFmtId="3" fontId="24" fillId="0" borderId="34" applyNumberFormat="0" applyBorder="0" applyAlignment="0" applyProtection="0"/>
    <xf numFmtId="0" fontId="24" fillId="0" borderId="34" applyNumberFormat="0" applyFill="0" applyAlignment="0" applyProtection="0"/>
    <xf numFmtId="0" fontId="24" fillId="0" borderId="34" applyNumberFormat="0" applyFill="0" applyAlignment="0" applyProtection="0"/>
    <xf numFmtId="0" fontId="24" fillId="0" borderId="34">
      <alignment horizontal="right" vertical="center"/>
    </xf>
    <xf numFmtId="3" fontId="24" fillId="8" borderId="34">
      <alignment horizontal="center" vertical="center"/>
    </xf>
    <xf numFmtId="0" fontId="24" fillId="8" borderId="34">
      <alignment horizontal="right" vertical="center"/>
    </xf>
    <xf numFmtId="0" fontId="23" fillId="0" borderId="35">
      <alignment horizontal="left" vertical="center"/>
    </xf>
    <xf numFmtId="0" fontId="23" fillId="0" borderId="36">
      <alignment horizontal="center" vertical="center"/>
    </xf>
    <xf numFmtId="0" fontId="25" fillId="0" borderId="37">
      <alignment horizontal="center" vertical="center"/>
    </xf>
    <xf numFmtId="0" fontId="24" fillId="6" borderId="34"/>
    <xf numFmtId="3" fontId="26" fillId="0" borderId="34"/>
    <xf numFmtId="3" fontId="27" fillId="0" borderId="34"/>
    <xf numFmtId="0" fontId="23" fillId="0" borderId="36">
      <alignment horizontal="left" vertical="top"/>
    </xf>
    <xf numFmtId="0" fontId="28" fillId="0" borderId="34"/>
    <xf numFmtId="0" fontId="23" fillId="0" borderId="36">
      <alignment horizontal="left" vertical="center"/>
    </xf>
    <xf numFmtId="0" fontId="24" fillId="8" borderId="38"/>
    <xf numFmtId="3" fontId="24" fillId="0" borderId="34">
      <alignment horizontal="right" vertical="center"/>
    </xf>
    <xf numFmtId="0" fontId="23" fillId="0" borderId="36">
      <alignment horizontal="right" vertical="center"/>
    </xf>
    <xf numFmtId="0" fontId="24" fillId="0" borderId="37">
      <alignment horizontal="center" vertical="center"/>
    </xf>
    <xf numFmtId="3" fontId="24" fillId="0" borderId="34"/>
    <xf numFmtId="3" fontId="24" fillId="0" borderId="34"/>
    <xf numFmtId="0" fontId="24" fillId="0" borderId="37">
      <alignment horizontal="center" vertical="center" wrapText="1"/>
    </xf>
    <xf numFmtId="0" fontId="29" fillId="0" borderId="37">
      <alignment horizontal="left" vertical="center" indent="1"/>
    </xf>
    <xf numFmtId="0" fontId="30" fillId="0" borderId="34"/>
    <xf numFmtId="0" fontId="23" fillId="0" borderId="35">
      <alignment horizontal="left" vertical="center"/>
    </xf>
    <xf numFmtId="3" fontId="24" fillId="0" borderId="34">
      <alignment horizontal="center" vertical="center"/>
    </xf>
    <xf numFmtId="0" fontId="23" fillId="0" borderId="36">
      <alignment horizontal="center" vertical="center"/>
    </xf>
    <xf numFmtId="0" fontId="23" fillId="0" borderId="36">
      <alignment horizontal="center" vertical="center"/>
    </xf>
    <xf numFmtId="0" fontId="23" fillId="0" borderId="35">
      <alignment horizontal="left" vertical="center"/>
    </xf>
    <xf numFmtId="0" fontId="23" fillId="0" borderId="35">
      <alignment horizontal="left" vertical="center"/>
    </xf>
    <xf numFmtId="0" fontId="31" fillId="0" borderId="34"/>
    <xf numFmtId="0" fontId="36" fillId="0" borderId="0" applyNumberFormat="0" applyFill="0" applyBorder="0" applyAlignment="0" applyProtection="0"/>
    <xf numFmtId="0" fontId="40" fillId="10" borderId="0" applyNumberFormat="0" applyBorder="0" applyAlignment="0" applyProtection="0"/>
  </cellStyleXfs>
  <cellXfs count="457">
    <xf numFmtId="0" fontId="0" fillId="0" borderId="0" xfId="0"/>
    <xf numFmtId="0" fontId="4" fillId="0" borderId="5" xfId="2" applyNumberFormat="1" applyFont="1" applyBorder="1" applyAlignment="1">
      <alignment horizontal="center" vertical="center" wrapText="1"/>
    </xf>
    <xf numFmtId="0" fontId="4" fillId="0" borderId="21" xfId="2" applyNumberFormat="1" applyFont="1" applyBorder="1" applyAlignment="1">
      <alignment horizontal="center" vertical="center" wrapText="1"/>
    </xf>
    <xf numFmtId="0" fontId="4" fillId="0" borderId="22" xfId="2" applyNumberFormat="1" applyFont="1" applyBorder="1" applyAlignment="1">
      <alignment horizontal="center" vertical="center" wrapText="1"/>
    </xf>
    <xf numFmtId="0" fontId="4" fillId="0" borderId="12" xfId="2" applyNumberFormat="1" applyFont="1" applyBorder="1" applyAlignment="1">
      <alignment horizontal="center" vertical="center" wrapText="1"/>
    </xf>
    <xf numFmtId="167" fontId="4" fillId="0" borderId="15" xfId="2" applyNumberFormat="1" applyFont="1" applyBorder="1" applyProtection="1">
      <alignment vertical="center"/>
      <protection locked="0"/>
    </xf>
    <xf numFmtId="167" fontId="4" fillId="0" borderId="12" xfId="2" applyNumberFormat="1" applyFont="1" applyBorder="1" applyProtection="1">
      <alignment vertical="center"/>
      <protection locked="0"/>
    </xf>
    <xf numFmtId="167" fontId="4" fillId="0" borderId="14" xfId="2" applyNumberFormat="1" applyFont="1" applyBorder="1" applyProtection="1">
      <alignment vertical="center"/>
      <protection locked="0"/>
    </xf>
    <xf numFmtId="167" fontId="4" fillId="0" borderId="4" xfId="2" applyNumberFormat="1" applyFont="1" applyBorder="1" applyProtection="1">
      <alignment vertical="center"/>
      <protection locked="0"/>
    </xf>
    <xf numFmtId="1" fontId="4" fillId="0" borderId="1" xfId="2" applyNumberFormat="1" applyFont="1" applyBorder="1" applyProtection="1">
      <alignment vertical="center"/>
      <protection locked="0"/>
    </xf>
    <xf numFmtId="1" fontId="4" fillId="0" borderId="7" xfId="2" applyNumberFormat="1" applyFont="1" applyBorder="1" applyProtection="1">
      <alignment vertical="center"/>
      <protection locked="0"/>
    </xf>
    <xf numFmtId="167" fontId="4" fillId="4" borderId="13" xfId="2" applyNumberFormat="1" applyFont="1" applyFill="1" applyBorder="1" applyProtection="1">
      <alignment vertical="center"/>
      <protection locked="0"/>
    </xf>
    <xf numFmtId="167" fontId="4" fillId="4" borderId="5" xfId="2" applyNumberFormat="1" applyFont="1" applyFill="1" applyBorder="1" applyProtection="1">
      <alignment vertical="center"/>
      <protection locked="0"/>
    </xf>
    <xf numFmtId="167" fontId="4" fillId="4" borderId="15" xfId="2" applyNumberFormat="1" applyFont="1" applyFill="1" applyBorder="1" applyProtection="1">
      <alignment vertical="center"/>
      <protection locked="0"/>
    </xf>
    <xf numFmtId="167" fontId="4" fillId="4" borderId="12" xfId="2" applyNumberFormat="1" applyFont="1" applyFill="1" applyBorder="1" applyProtection="1">
      <alignment vertical="center"/>
      <protection locked="0"/>
    </xf>
    <xf numFmtId="167" fontId="6" fillId="4" borderId="15" xfId="0" applyNumberFormat="1" applyFont="1" applyFill="1" applyBorder="1"/>
    <xf numFmtId="167" fontId="4" fillId="4" borderId="14" xfId="2" applyNumberFormat="1" applyFont="1" applyFill="1" applyBorder="1" applyProtection="1">
      <alignment vertical="center"/>
      <protection locked="0"/>
    </xf>
    <xf numFmtId="167" fontId="4" fillId="4" borderId="4" xfId="2" applyNumberFormat="1" applyFont="1" applyFill="1" applyBorder="1" applyProtection="1">
      <alignment vertical="center"/>
      <protection locked="0"/>
    </xf>
    <xf numFmtId="1" fontId="4" fillId="0" borderId="18" xfId="2" applyNumberFormat="1" applyFont="1" applyBorder="1" applyProtection="1">
      <alignment vertical="center"/>
      <protection locked="0"/>
    </xf>
    <xf numFmtId="1" fontId="4" fillId="0" borderId="2" xfId="2" applyNumberFormat="1" applyFont="1" applyBorder="1" applyProtection="1">
      <alignment vertical="center"/>
      <protection locked="0"/>
    </xf>
    <xf numFmtId="167" fontId="4" fillId="0" borderId="9" xfId="2" applyNumberFormat="1" applyFont="1" applyBorder="1" applyProtection="1">
      <alignment vertical="center"/>
      <protection locked="0"/>
    </xf>
    <xf numFmtId="1" fontId="4" fillId="0" borderId="17" xfId="2" applyNumberFormat="1" applyFont="1" applyBorder="1" applyProtection="1">
      <alignment vertical="center"/>
      <protection locked="0"/>
    </xf>
    <xf numFmtId="167" fontId="4" fillId="0" borderId="19" xfId="2" applyNumberFormat="1" applyFont="1" applyBorder="1" applyProtection="1">
      <alignment vertical="center"/>
      <protection locked="0"/>
    </xf>
    <xf numFmtId="167" fontId="6" fillId="0" borderId="20" xfId="0" applyNumberFormat="1" applyFont="1" applyBorder="1"/>
    <xf numFmtId="167" fontId="6" fillId="0" borderId="16" xfId="0" applyNumberFormat="1" applyFont="1" applyBorder="1"/>
    <xf numFmtId="0" fontId="9" fillId="0" borderId="0" xfId="0" applyFont="1"/>
    <xf numFmtId="3" fontId="7" fillId="0" borderId="0" xfId="2" applyFont="1" applyAlignment="1">
      <alignment horizontal="center" vertical="center"/>
    </xf>
    <xf numFmtId="3" fontId="7" fillId="0" borderId="0" xfId="2" applyFont="1">
      <alignment vertical="center"/>
    </xf>
    <xf numFmtId="3" fontId="7" fillId="0" borderId="0" xfId="2" applyFont="1" applyAlignment="1">
      <alignment horizontal="right" vertical="center"/>
    </xf>
    <xf numFmtId="3" fontId="7" fillId="0" borderId="0" xfId="2" applyFont="1" applyAlignment="1">
      <alignment horizontal="left" vertical="center" indent="1"/>
    </xf>
    <xf numFmtId="3" fontId="9" fillId="0" borderId="0" xfId="2" applyFont="1" applyAlignment="1" applyProtection="1">
      <alignment horizontal="center" vertical="center"/>
      <protection locked="0"/>
    </xf>
    <xf numFmtId="0" fontId="11" fillId="0" borderId="0" xfId="0" applyFont="1"/>
    <xf numFmtId="3" fontId="9" fillId="0" borderId="0" xfId="3" applyNumberFormat="1" applyFont="1" applyFill="1" applyBorder="1" applyAlignment="1" applyProtection="1">
      <alignment horizontal="right" vertical="center" indent="1"/>
      <protection locked="0"/>
    </xf>
    <xf numFmtId="0" fontId="7" fillId="0" borderId="0" xfId="2" applyNumberFormat="1" applyFont="1">
      <alignment vertical="center"/>
    </xf>
    <xf numFmtId="0" fontId="7" fillId="0" borderId="0" xfId="2" applyNumberFormat="1" applyFont="1" applyAlignment="1">
      <alignment horizontal="right" vertical="center" wrapText="1"/>
    </xf>
    <xf numFmtId="0" fontId="12" fillId="0" borderId="0" xfId="2" applyNumberFormat="1" applyFont="1">
      <alignment vertical="center"/>
    </xf>
    <xf numFmtId="3" fontId="13" fillId="0" borderId="0" xfId="2" applyFont="1" applyAlignment="1">
      <alignment horizontal="left" vertical="center"/>
    </xf>
    <xf numFmtId="3" fontId="7" fillId="0" borderId="0" xfId="2" applyFont="1" applyAlignment="1">
      <alignment horizontal="left" vertical="center"/>
    </xf>
    <xf numFmtId="3" fontId="10" fillId="0" borderId="0" xfId="2" applyFont="1">
      <alignment vertical="center"/>
    </xf>
    <xf numFmtId="167" fontId="9" fillId="0" borderId="0" xfId="2" applyNumberFormat="1" applyFont="1" applyAlignment="1">
      <alignment horizontal="right" vertical="center" indent="1"/>
    </xf>
    <xf numFmtId="0" fontId="7" fillId="0" borderId="0" xfId="2" applyNumberFormat="1" applyFont="1" applyAlignment="1">
      <alignment horizontal="center" vertical="center"/>
    </xf>
    <xf numFmtId="166" fontId="9" fillId="0" borderId="0" xfId="1" applyNumberFormat="1" applyFont="1" applyFill="1" applyBorder="1" applyAlignment="1" applyProtection="1">
      <alignment horizontal="right" vertical="center" indent="1"/>
    </xf>
    <xf numFmtId="3" fontId="9" fillId="0" borderId="0" xfId="2" applyFont="1" applyAlignment="1" applyProtection="1">
      <alignment horizontal="right" vertical="center"/>
      <protection locked="0"/>
    </xf>
    <xf numFmtId="166" fontId="15" fillId="2" borderId="28" xfId="1" applyNumberFormat="1" applyFont="1" applyFill="1" applyBorder="1" applyAlignment="1" applyProtection="1">
      <alignment horizontal="right" vertical="center" indent="1"/>
    </xf>
    <xf numFmtId="166" fontId="15" fillId="2" borderId="26" xfId="1" applyNumberFormat="1" applyFont="1" applyFill="1" applyBorder="1" applyAlignment="1" applyProtection="1">
      <alignment horizontal="right" vertical="center" indent="1"/>
    </xf>
    <xf numFmtId="169" fontId="15" fillId="3" borderId="28" xfId="2" applyNumberFormat="1" applyFont="1" applyFill="1" applyBorder="1" applyAlignment="1">
      <alignment horizontal="right" vertical="center" indent="1"/>
    </xf>
    <xf numFmtId="3" fontId="17" fillId="0" borderId="0" xfId="2" applyFont="1" applyAlignment="1">
      <alignment horizontal="left"/>
    </xf>
    <xf numFmtId="170" fontId="15" fillId="5" borderId="28" xfId="2" applyNumberFormat="1" applyFont="1" applyFill="1" applyBorder="1" applyAlignment="1" applyProtection="1">
      <alignment horizontal="right" vertical="center" indent="1"/>
      <protection locked="0"/>
    </xf>
    <xf numFmtId="170" fontId="15" fillId="3" borderId="28" xfId="2" applyNumberFormat="1" applyFont="1" applyFill="1" applyBorder="1" applyAlignment="1">
      <alignment horizontal="right" vertical="center" indent="1"/>
    </xf>
    <xf numFmtId="170" fontId="15" fillId="3" borderId="25" xfId="2" applyNumberFormat="1" applyFont="1" applyFill="1" applyBorder="1" applyAlignment="1">
      <alignment horizontal="right" vertical="center" indent="1"/>
    </xf>
    <xf numFmtId="170" fontId="15" fillId="3" borderId="28" xfId="2" applyNumberFormat="1" applyFont="1" applyFill="1" applyBorder="1" applyAlignment="1" applyProtection="1">
      <alignment horizontal="right" vertical="center" indent="1"/>
      <protection locked="0"/>
    </xf>
    <xf numFmtId="170" fontId="15" fillId="3" borderId="25" xfId="2" applyNumberFormat="1" applyFont="1" applyFill="1" applyBorder="1" applyAlignment="1" applyProtection="1">
      <alignment horizontal="right" vertical="center" indent="1"/>
      <protection locked="0"/>
    </xf>
    <xf numFmtId="170" fontId="15" fillId="3" borderId="29" xfId="2" applyNumberFormat="1" applyFont="1" applyFill="1" applyBorder="1" applyAlignment="1">
      <alignment horizontal="right" vertical="center" indent="1"/>
    </xf>
    <xf numFmtId="0" fontId="22" fillId="0" borderId="0" xfId="0" applyFont="1" applyAlignment="1">
      <alignment horizontal="left"/>
    </xf>
    <xf numFmtId="1" fontId="4" fillId="0" borderId="2" xfId="2" applyNumberFormat="1" applyFont="1" applyBorder="1" applyAlignment="1" applyProtection="1">
      <alignment horizontal="right" vertical="center"/>
      <protection locked="0"/>
    </xf>
    <xf numFmtId="0" fontId="6" fillId="0" borderId="0" xfId="0" applyFont="1"/>
    <xf numFmtId="170" fontId="15" fillId="7" borderId="28" xfId="2" applyNumberFormat="1" applyFont="1" applyFill="1" applyBorder="1" applyAlignment="1">
      <alignment horizontal="right" vertical="center" indent="1"/>
    </xf>
    <xf numFmtId="170" fontId="15" fillId="3" borderId="26" xfId="2" applyNumberFormat="1" applyFont="1" applyFill="1" applyBorder="1" applyAlignment="1">
      <alignment horizontal="right" vertical="center" indent="1"/>
    </xf>
    <xf numFmtId="170" fontId="15" fillId="3" borderId="28" xfId="2" applyNumberFormat="1" applyFont="1" applyFill="1" applyBorder="1">
      <alignment vertical="center"/>
    </xf>
    <xf numFmtId="170" fontId="15" fillId="5" borderId="28" xfId="2" applyNumberFormat="1" applyFont="1" applyFill="1" applyBorder="1">
      <alignment vertical="center"/>
    </xf>
    <xf numFmtId="170" fontId="15" fillId="3" borderId="26" xfId="2" applyNumberFormat="1" applyFont="1" applyFill="1" applyBorder="1" applyAlignment="1" applyProtection="1">
      <alignment horizontal="right" vertical="center" indent="1"/>
      <protection locked="0"/>
    </xf>
    <xf numFmtId="170" fontId="15" fillId="3" borderId="27" xfId="2" applyNumberFormat="1" applyFont="1" applyFill="1" applyBorder="1" applyAlignment="1">
      <alignment horizontal="right" vertical="center" indent="1"/>
    </xf>
    <xf numFmtId="1" fontId="4" fillId="0" borderId="39" xfId="2" applyNumberFormat="1" applyFont="1" applyBorder="1" applyAlignment="1" applyProtection="1">
      <alignment horizontal="right" vertical="center"/>
      <protection locked="0"/>
    </xf>
    <xf numFmtId="0" fontId="6" fillId="0" borderId="8" xfId="0" applyFont="1" applyBorder="1"/>
    <xf numFmtId="0" fontId="16" fillId="0" borderId="8" xfId="0" applyFont="1" applyBorder="1"/>
    <xf numFmtId="0" fontId="16" fillId="9" borderId="8" xfId="0" applyFont="1" applyFill="1" applyBorder="1"/>
    <xf numFmtId="0" fontId="6" fillId="0" borderId="10" xfId="0" applyFont="1" applyBorder="1"/>
    <xf numFmtId="0" fontId="6" fillId="0" borderId="41" xfId="0" applyFont="1" applyBorder="1" applyAlignment="1">
      <alignment horizontal="right"/>
    </xf>
    <xf numFmtId="0" fontId="6" fillId="0" borderId="3" xfId="0" applyFont="1" applyBorder="1" applyAlignment="1">
      <alignment horizontal="right"/>
    </xf>
    <xf numFmtId="1" fontId="4" fillId="0" borderId="18" xfId="2" applyNumberFormat="1" applyFont="1" applyBorder="1" applyAlignment="1" applyProtection="1">
      <alignment horizontal="right" vertical="center"/>
      <protection locked="0"/>
    </xf>
    <xf numFmtId="1" fontId="4" fillId="0" borderId="17" xfId="2" applyNumberFormat="1" applyFont="1" applyBorder="1" applyAlignment="1" applyProtection="1">
      <alignment horizontal="right" vertical="center"/>
      <protection locked="0"/>
    </xf>
    <xf numFmtId="0" fontId="6" fillId="0" borderId="42" xfId="0" applyFont="1" applyBorder="1"/>
    <xf numFmtId="0" fontId="16" fillId="0" borderId="42" xfId="0" applyFont="1" applyBorder="1"/>
    <xf numFmtId="0" fontId="16" fillId="9" borderId="43" xfId="0" applyFont="1" applyFill="1" applyBorder="1"/>
    <xf numFmtId="0" fontId="16" fillId="9" borderId="9" xfId="0" applyFont="1" applyFill="1" applyBorder="1"/>
    <xf numFmtId="0" fontId="16" fillId="0" borderId="9" xfId="0" applyFont="1" applyBorder="1"/>
    <xf numFmtId="0" fontId="6" fillId="0" borderId="44" xfId="0" applyFont="1" applyBorder="1"/>
    <xf numFmtId="0" fontId="16" fillId="9" borderId="44" xfId="0" applyFont="1" applyFill="1" applyBorder="1"/>
    <xf numFmtId="0" fontId="16" fillId="0" borderId="19" xfId="0" applyFont="1" applyBorder="1"/>
    <xf numFmtId="0" fontId="6" fillId="0" borderId="9" xfId="0" applyFont="1" applyBorder="1"/>
    <xf numFmtId="0" fontId="6" fillId="0" borderId="19" xfId="0" applyFont="1" applyBorder="1"/>
    <xf numFmtId="0" fontId="6" fillId="0" borderId="45" xfId="0" applyFont="1" applyBorder="1"/>
    <xf numFmtId="0" fontId="4" fillId="0" borderId="40" xfId="2" applyNumberFormat="1" applyFont="1" applyBorder="1" applyAlignment="1">
      <alignment horizontal="center" vertical="center" wrapText="1"/>
    </xf>
    <xf numFmtId="1" fontId="4" fillId="0" borderId="40" xfId="2" applyNumberFormat="1" applyFont="1" applyBorder="1" applyAlignment="1" applyProtection="1">
      <alignment horizontal="right" vertical="center"/>
      <protection locked="0"/>
    </xf>
    <xf numFmtId="0" fontId="6" fillId="0" borderId="41" xfId="0" applyFont="1" applyBorder="1"/>
    <xf numFmtId="0" fontId="6" fillId="0" borderId="3" xfId="0" applyFont="1" applyBorder="1"/>
    <xf numFmtId="170" fontId="32" fillId="3" borderId="26" xfId="2" applyNumberFormat="1" applyFont="1" applyFill="1" applyBorder="1" applyAlignment="1">
      <alignment horizontal="right" vertical="center" indent="1"/>
    </xf>
    <xf numFmtId="171" fontId="15" fillId="3" borderId="48" xfId="2" applyNumberFormat="1" applyFont="1" applyFill="1" applyBorder="1" applyAlignment="1">
      <alignment horizontal="right" vertical="center" indent="1"/>
    </xf>
    <xf numFmtId="171" fontId="15" fillId="3" borderId="48" xfId="2" applyNumberFormat="1" applyFont="1" applyFill="1" applyBorder="1">
      <alignment vertical="center"/>
    </xf>
    <xf numFmtId="171" fontId="15" fillId="3" borderId="49" xfId="2" applyNumberFormat="1" applyFont="1" applyFill="1" applyBorder="1" applyAlignment="1">
      <alignment horizontal="right" vertical="center" indent="1"/>
    </xf>
    <xf numFmtId="166" fontId="32" fillId="2" borderId="26" xfId="1" applyNumberFormat="1" applyFont="1" applyFill="1" applyBorder="1" applyAlignment="1" applyProtection="1">
      <alignment horizontal="right" vertical="center" indent="1"/>
    </xf>
    <xf numFmtId="166" fontId="33" fillId="2" borderId="26" xfId="1" applyNumberFormat="1" applyFont="1" applyFill="1" applyBorder="1" applyAlignment="1" applyProtection="1">
      <alignment horizontal="right" vertical="center" indent="1"/>
    </xf>
    <xf numFmtId="166" fontId="33" fillId="2" borderId="28" xfId="1" applyNumberFormat="1" applyFont="1" applyFill="1" applyBorder="1" applyAlignment="1" applyProtection="1">
      <alignment horizontal="right" vertical="center" indent="1"/>
    </xf>
    <xf numFmtId="166" fontId="15" fillId="7" borderId="32" xfId="1" applyNumberFormat="1" applyFont="1" applyFill="1" applyBorder="1" applyAlignment="1" applyProtection="1">
      <alignment horizontal="right" vertical="center" indent="1"/>
    </xf>
    <xf numFmtId="3" fontId="21" fillId="0" borderId="0" xfId="2" applyFont="1" applyAlignment="1">
      <alignment horizontal="left" vertical="center"/>
    </xf>
    <xf numFmtId="0" fontId="18" fillId="0" borderId="0" xfId="0" applyFont="1" applyAlignment="1">
      <alignment horizontal="right" indent="1"/>
    </xf>
    <xf numFmtId="170" fontId="15" fillId="3" borderId="48" xfId="2" applyNumberFormat="1" applyFont="1" applyFill="1" applyBorder="1" applyAlignment="1">
      <alignment horizontal="right" vertical="center" indent="1"/>
    </xf>
    <xf numFmtId="170" fontId="15" fillId="3" borderId="48" xfId="2" applyNumberFormat="1" applyFont="1" applyFill="1" applyBorder="1">
      <alignment vertical="center"/>
    </xf>
    <xf numFmtId="170" fontId="15" fillId="3" borderId="49" xfId="2" applyNumberFormat="1" applyFont="1" applyFill="1" applyBorder="1" applyAlignment="1">
      <alignment horizontal="right" vertical="center" indent="1"/>
    </xf>
    <xf numFmtId="170" fontId="15" fillId="0" borderId="30" xfId="2" applyNumberFormat="1" applyFont="1" applyBorder="1" applyAlignment="1" applyProtection="1">
      <alignment horizontal="right" vertical="center" indent="1"/>
      <protection locked="0"/>
    </xf>
    <xf numFmtId="170" fontId="15" fillId="0" borderId="30" xfId="2" applyNumberFormat="1" applyFont="1" applyBorder="1" applyAlignment="1">
      <alignment horizontal="right" vertical="center" indent="1"/>
    </xf>
    <xf numFmtId="170" fontId="15" fillId="0" borderId="31" xfId="2" applyNumberFormat="1" applyFont="1" applyBorder="1" applyAlignment="1">
      <alignment horizontal="right" vertical="center" indent="1"/>
    </xf>
    <xf numFmtId="170" fontId="15" fillId="0" borderId="28" xfId="2" applyNumberFormat="1" applyFont="1" applyBorder="1" applyAlignment="1" applyProtection="1">
      <alignment horizontal="right" vertical="center" indent="1"/>
      <protection locked="0"/>
    </xf>
    <xf numFmtId="170" fontId="15" fillId="0" borderId="28" xfId="2" applyNumberFormat="1" applyFont="1" applyBorder="1" applyAlignment="1">
      <alignment horizontal="right" vertical="center" indent="1"/>
    </xf>
    <xf numFmtId="170" fontId="15" fillId="0" borderId="29" xfId="2" applyNumberFormat="1" applyFont="1" applyBorder="1" applyAlignment="1">
      <alignment horizontal="right" vertical="center" indent="1"/>
    </xf>
    <xf numFmtId="170" fontId="15" fillId="0" borderId="28" xfId="2" applyNumberFormat="1" applyFont="1" applyBorder="1">
      <alignment vertical="center"/>
    </xf>
    <xf numFmtId="170" fontId="15" fillId="0" borderId="48" xfId="2" applyNumberFormat="1" applyFont="1" applyBorder="1" applyAlignment="1">
      <alignment horizontal="right" vertical="center" indent="1"/>
    </xf>
    <xf numFmtId="170" fontId="15" fillId="0" borderId="48" xfId="2" applyNumberFormat="1" applyFont="1" applyBorder="1">
      <alignment vertical="center"/>
    </xf>
    <xf numFmtId="170" fontId="15" fillId="0" borderId="49" xfId="2" applyNumberFormat="1" applyFont="1" applyBorder="1" applyAlignment="1">
      <alignment horizontal="right" vertical="center" indent="1"/>
    </xf>
    <xf numFmtId="171" fontId="15" fillId="0" borderId="48" xfId="2" applyNumberFormat="1" applyFont="1" applyBorder="1" applyAlignment="1">
      <alignment horizontal="right" vertical="center" indent="1"/>
    </xf>
    <xf numFmtId="171" fontId="15" fillId="0" borderId="48" xfId="2" applyNumberFormat="1" applyFont="1" applyBorder="1">
      <alignment vertical="center"/>
    </xf>
    <xf numFmtId="171" fontId="15" fillId="0" borderId="49" xfId="2" applyNumberFormat="1" applyFont="1" applyBorder="1" applyAlignment="1">
      <alignment horizontal="right" vertical="center" indent="1"/>
    </xf>
    <xf numFmtId="170" fontId="15" fillId="0" borderId="51" xfId="2" applyNumberFormat="1" applyFont="1" applyBorder="1" applyAlignment="1">
      <alignment horizontal="center" vertical="center" wrapText="1"/>
    </xf>
    <xf numFmtId="170" fontId="15" fillId="3" borderId="52" xfId="2" applyNumberFormat="1" applyFont="1" applyFill="1" applyBorder="1" applyAlignment="1">
      <alignment horizontal="center" vertical="center" wrapText="1"/>
    </xf>
    <xf numFmtId="170" fontId="15" fillId="0" borderId="52" xfId="2" applyNumberFormat="1" applyFont="1" applyBorder="1" applyAlignment="1">
      <alignment horizontal="center" vertical="center" wrapText="1"/>
    </xf>
    <xf numFmtId="170" fontId="15" fillId="3" borderId="52" xfId="2" applyNumberFormat="1" applyFont="1" applyFill="1" applyBorder="1" applyAlignment="1" applyProtection="1">
      <alignment horizontal="right" vertical="center" indent="1"/>
      <protection locked="0"/>
    </xf>
    <xf numFmtId="170" fontId="15" fillId="0" borderId="52" xfId="2" applyNumberFormat="1" applyFont="1" applyBorder="1" applyAlignment="1" applyProtection="1">
      <alignment horizontal="right" vertical="center" indent="1"/>
      <protection locked="0"/>
    </xf>
    <xf numFmtId="170" fontId="15" fillId="3" borderId="52" xfId="2" applyNumberFormat="1" applyFont="1" applyFill="1" applyBorder="1" applyAlignment="1">
      <alignment horizontal="right" vertical="center" indent="1"/>
    </xf>
    <xf numFmtId="170" fontId="15" fillId="3" borderId="53" xfId="2" applyNumberFormat="1" applyFont="1" applyFill="1" applyBorder="1" applyAlignment="1">
      <alignment horizontal="right" vertical="center" indent="1"/>
    </xf>
    <xf numFmtId="170" fontId="15" fillId="0" borderId="53" xfId="2" applyNumberFormat="1" applyFont="1" applyBorder="1" applyAlignment="1">
      <alignment horizontal="right" vertical="center" indent="1"/>
    </xf>
    <xf numFmtId="171" fontId="15" fillId="3" borderId="53" xfId="2" applyNumberFormat="1" applyFont="1" applyFill="1" applyBorder="1" applyAlignment="1">
      <alignment horizontal="right" vertical="center" indent="1"/>
    </xf>
    <xf numFmtId="171" fontId="15" fillId="0" borderId="53" xfId="2" applyNumberFormat="1" applyFont="1" applyBorder="1" applyAlignment="1">
      <alignment horizontal="right" vertical="center" indent="1"/>
    </xf>
    <xf numFmtId="170" fontId="15" fillId="3" borderId="54" xfId="2" applyNumberFormat="1" applyFont="1" applyFill="1" applyBorder="1" applyAlignment="1">
      <alignment horizontal="center" vertical="center" wrapText="1"/>
    </xf>
    <xf numFmtId="170" fontId="33" fillId="3" borderId="26" xfId="2" applyNumberFormat="1" applyFont="1" applyFill="1" applyBorder="1" applyAlignment="1">
      <alignment horizontal="right" vertical="center" indent="1"/>
    </xf>
    <xf numFmtId="170" fontId="15" fillId="3" borderId="28" xfId="2" applyNumberFormat="1" applyFont="1" applyFill="1" applyBorder="1" applyAlignment="1" applyProtection="1">
      <alignment horizontal="right" vertical="center"/>
      <protection locked="0"/>
    </xf>
    <xf numFmtId="0" fontId="36" fillId="0" borderId="0" xfId="61"/>
    <xf numFmtId="170" fontId="37" fillId="3" borderId="26" xfId="61" applyNumberFormat="1" applyFont="1" applyFill="1" applyBorder="1" applyAlignment="1">
      <alignment horizontal="right" vertical="center" indent="1"/>
    </xf>
    <xf numFmtId="0" fontId="38" fillId="0" borderId="0" xfId="0" applyFont="1"/>
    <xf numFmtId="0" fontId="39" fillId="0" borderId="0" xfId="0" applyFont="1"/>
    <xf numFmtId="166" fontId="14" fillId="2" borderId="26" xfId="1" applyNumberFormat="1" applyFont="1" applyFill="1" applyBorder="1" applyAlignment="1" applyProtection="1">
      <alignment horizontal="right" vertical="center" indent="1"/>
    </xf>
    <xf numFmtId="4" fontId="15" fillId="5" borderId="25" xfId="2" applyNumberFormat="1" applyFont="1" applyFill="1" applyBorder="1" applyAlignment="1" applyProtection="1">
      <alignment horizontal="right" vertical="center" indent="1"/>
      <protection locked="0"/>
    </xf>
    <xf numFmtId="166" fontId="15" fillId="7" borderId="55" xfId="1" applyNumberFormat="1" applyFont="1" applyFill="1" applyBorder="1" applyAlignment="1" applyProtection="1">
      <alignment horizontal="right" vertical="center" indent="1"/>
    </xf>
    <xf numFmtId="0" fontId="9" fillId="0" borderId="12" xfId="0" applyFont="1" applyBorder="1"/>
    <xf numFmtId="166" fontId="15" fillId="7" borderId="2" xfId="1" applyNumberFormat="1" applyFont="1" applyFill="1" applyBorder="1" applyAlignment="1" applyProtection="1">
      <alignment horizontal="right" vertical="center" indent="1"/>
    </xf>
    <xf numFmtId="0" fontId="9" fillId="0" borderId="1" xfId="0" applyFont="1" applyBorder="1"/>
    <xf numFmtId="0" fontId="44" fillId="12" borderId="11" xfId="2" applyNumberFormat="1" applyFont="1" applyFill="1" applyBorder="1" applyAlignment="1">
      <alignment horizontal="centerContinuous" vertical="center" wrapText="1"/>
    </xf>
    <xf numFmtId="0" fontId="45" fillId="12" borderId="41" xfId="0" applyFont="1" applyFill="1" applyBorder="1" applyAlignment="1">
      <alignment horizontal="centerContinuous"/>
    </xf>
    <xf numFmtId="0" fontId="45" fillId="12" borderId="3" xfId="0" applyFont="1" applyFill="1" applyBorder="1" applyAlignment="1">
      <alignment horizontal="centerContinuous"/>
    </xf>
    <xf numFmtId="172" fontId="15" fillId="0" borderId="62" xfId="1" applyNumberFormat="1" applyFont="1" applyFill="1" applyBorder="1" applyAlignment="1" applyProtection="1">
      <alignment horizontal="center" vertical="center"/>
    </xf>
    <xf numFmtId="172" fontId="15" fillId="0" borderId="47" xfId="1" applyNumberFormat="1" applyFont="1" applyFill="1" applyBorder="1" applyAlignment="1" applyProtection="1">
      <alignment horizontal="center" vertical="center"/>
    </xf>
    <xf numFmtId="172" fontId="42" fillId="12" borderId="47" xfId="1" applyNumberFormat="1" applyFont="1" applyFill="1" applyBorder="1" applyAlignment="1" applyProtection="1">
      <alignment horizontal="center" vertical="center"/>
    </xf>
    <xf numFmtId="172" fontId="15" fillId="6" borderId="63" xfId="1" applyNumberFormat="1" applyFont="1" applyFill="1" applyBorder="1" applyAlignment="1" applyProtection="1">
      <alignment horizontal="center" vertical="center"/>
    </xf>
    <xf numFmtId="172" fontId="15" fillId="15" borderId="39" xfId="1" applyNumberFormat="1" applyFont="1" applyFill="1" applyBorder="1" applyAlignment="1" applyProtection="1">
      <alignment horizontal="center" vertical="center"/>
    </xf>
    <xf numFmtId="172" fontId="42" fillId="14" borderId="62" xfId="1" applyNumberFormat="1" applyFont="1" applyFill="1" applyBorder="1" applyAlignment="1" applyProtection="1">
      <alignment horizontal="center" vertical="center"/>
    </xf>
    <xf numFmtId="172" fontId="9" fillId="0" borderId="15" xfId="0" applyNumberFormat="1" applyFont="1" applyBorder="1" applyAlignment="1">
      <alignment horizontal="center"/>
    </xf>
    <xf numFmtId="172" fontId="9" fillId="0" borderId="12" xfId="0" applyNumberFormat="1" applyFont="1" applyBorder="1" applyAlignment="1">
      <alignment horizontal="center"/>
    </xf>
    <xf numFmtId="172" fontId="9" fillId="0" borderId="1" xfId="0" applyNumberFormat="1" applyFont="1" applyBorder="1" applyAlignment="1">
      <alignment horizontal="center"/>
    </xf>
    <xf numFmtId="172" fontId="15" fillId="0" borderId="56" xfId="1" applyNumberFormat="1" applyFont="1" applyFill="1" applyBorder="1" applyAlignment="1" applyProtection="1">
      <alignment horizontal="center" vertical="center"/>
    </xf>
    <xf numFmtId="172" fontId="15" fillId="0" borderId="32" xfId="1" applyNumberFormat="1" applyFont="1" applyFill="1" applyBorder="1" applyAlignment="1" applyProtection="1">
      <alignment horizontal="center" vertical="center"/>
    </xf>
    <xf numFmtId="172" fontId="15" fillId="0" borderId="55" xfId="1" applyNumberFormat="1" applyFont="1" applyFill="1" applyBorder="1" applyAlignment="1" applyProtection="1">
      <alignment horizontal="center" vertical="center"/>
    </xf>
    <xf numFmtId="172" fontId="15" fillId="0" borderId="57" xfId="1" applyNumberFormat="1" applyFont="1" applyFill="1" applyBorder="1" applyAlignment="1" applyProtection="1">
      <alignment horizontal="center" vertical="center"/>
    </xf>
    <xf numFmtId="172" fontId="15" fillId="0" borderId="60" xfId="1" applyNumberFormat="1" applyFont="1" applyFill="1" applyBorder="1" applyAlignment="1" applyProtection="1">
      <alignment horizontal="center" vertical="center"/>
    </xf>
    <xf numFmtId="172" fontId="15" fillId="0" borderId="58" xfId="1" applyNumberFormat="1" applyFont="1" applyFill="1" applyBorder="1" applyAlignment="1" applyProtection="1">
      <alignment horizontal="center" vertical="center"/>
    </xf>
    <xf numFmtId="172" fontId="46" fillId="10" borderId="60" xfId="62" applyNumberFormat="1" applyFont="1" applyBorder="1" applyAlignment="1" applyProtection="1">
      <alignment horizontal="center" vertical="center"/>
    </xf>
    <xf numFmtId="3" fontId="14" fillId="5" borderId="25" xfId="2" applyFont="1" applyFill="1" applyBorder="1" applyAlignment="1">
      <alignment horizontal="center" vertical="center"/>
    </xf>
    <xf numFmtId="3" fontId="14" fillId="5" borderId="26" xfId="2" applyFont="1" applyFill="1" applyBorder="1" applyAlignment="1">
      <alignment horizontal="center" vertical="center"/>
    </xf>
    <xf numFmtId="3" fontId="47" fillId="16" borderId="0" xfId="2" applyFont="1" applyFill="1">
      <alignment vertical="center"/>
    </xf>
    <xf numFmtId="3" fontId="47" fillId="16" borderId="0" xfId="2" applyFont="1" applyFill="1" applyAlignment="1">
      <alignment vertical="center" wrapText="1"/>
    </xf>
    <xf numFmtId="3" fontId="48" fillId="17" borderId="40" xfId="2" applyFont="1" applyFill="1" applyBorder="1" applyAlignment="1">
      <alignment horizontal="left" vertical="center" wrapText="1"/>
    </xf>
    <xf numFmtId="168" fontId="48" fillId="18" borderId="40" xfId="1" applyNumberFormat="1" applyFont="1" applyFill="1" applyBorder="1" applyAlignment="1" applyProtection="1">
      <alignment horizontal="right" vertical="center" indent="1"/>
      <protection locked="0"/>
    </xf>
    <xf numFmtId="0" fontId="49" fillId="0" borderId="0" xfId="0" applyFont="1" applyAlignment="1">
      <alignment horizontal="center"/>
    </xf>
    <xf numFmtId="0" fontId="49" fillId="0" borderId="0" xfId="0" applyFont="1" applyAlignment="1">
      <alignment horizontal="left"/>
    </xf>
    <xf numFmtId="0" fontId="49" fillId="0" borderId="0" xfId="0" applyFont="1"/>
    <xf numFmtId="3" fontId="47" fillId="16" borderId="0" xfId="2" applyFont="1" applyFill="1" applyAlignment="1">
      <alignment horizontal="left" vertical="center"/>
    </xf>
    <xf numFmtId="3" fontId="50" fillId="16" borderId="0" xfId="2" applyFont="1" applyFill="1">
      <alignment vertical="center"/>
    </xf>
    <xf numFmtId="3" fontId="50" fillId="16" borderId="0" xfId="2" applyFont="1" applyFill="1" applyAlignment="1">
      <alignment vertical="center" wrapText="1"/>
    </xf>
    <xf numFmtId="0" fontId="47" fillId="17" borderId="40" xfId="2" applyNumberFormat="1" applyFont="1" applyFill="1" applyBorder="1" applyAlignment="1">
      <alignment horizontal="center" vertical="center" wrapText="1"/>
    </xf>
    <xf numFmtId="0" fontId="47" fillId="17" borderId="11" xfId="2" applyNumberFormat="1" applyFont="1" applyFill="1" applyBorder="1" applyAlignment="1">
      <alignment horizontal="left" vertical="center" wrapText="1"/>
    </xf>
    <xf numFmtId="0" fontId="47" fillId="17" borderId="11" xfId="2" applyNumberFormat="1" applyFont="1" applyFill="1" applyBorder="1" applyAlignment="1">
      <alignment vertical="center" wrapText="1"/>
    </xf>
    <xf numFmtId="0" fontId="47" fillId="17" borderId="40" xfId="2" applyNumberFormat="1" applyFont="1" applyFill="1" applyBorder="1" applyAlignment="1">
      <alignment vertical="center" wrapText="1"/>
    </xf>
    <xf numFmtId="0" fontId="48" fillId="17" borderId="40" xfId="2" applyNumberFormat="1" applyFont="1" applyFill="1" applyBorder="1" applyAlignment="1">
      <alignment horizontal="center" vertical="center" wrapText="1"/>
    </xf>
    <xf numFmtId="0" fontId="48" fillId="16" borderId="0" xfId="2" applyNumberFormat="1" applyFont="1" applyFill="1" applyAlignment="1">
      <alignment horizontal="center" vertical="center" wrapText="1"/>
    </xf>
    <xf numFmtId="0" fontId="47" fillId="16" borderId="0" xfId="2" applyNumberFormat="1" applyFont="1" applyFill="1" applyAlignment="1">
      <alignment horizontal="left" vertical="center" wrapText="1"/>
    </xf>
    <xf numFmtId="0" fontId="48" fillId="16" borderId="0" xfId="2" applyNumberFormat="1" applyFont="1" applyFill="1" applyAlignment="1">
      <alignment vertical="center" wrapText="1"/>
    </xf>
    <xf numFmtId="168" fontId="48" fillId="16" borderId="0" xfId="1" applyNumberFormat="1" applyFont="1" applyFill="1" applyBorder="1" applyAlignment="1" applyProtection="1">
      <alignment horizontal="right" vertical="center" indent="1"/>
      <protection locked="0"/>
    </xf>
    <xf numFmtId="168" fontId="48" fillId="16" borderId="0" xfId="1" applyNumberFormat="1" applyFont="1" applyFill="1" applyBorder="1" applyAlignment="1" applyProtection="1">
      <alignment horizontal="center" vertical="center"/>
      <protection locked="0"/>
    </xf>
    <xf numFmtId="3" fontId="47" fillId="17" borderId="40" xfId="2" applyFont="1" applyFill="1" applyBorder="1" applyAlignment="1">
      <alignment horizontal="center" vertical="center"/>
    </xf>
    <xf numFmtId="0" fontId="51" fillId="17" borderId="40" xfId="0" applyFont="1" applyFill="1" applyBorder="1" applyAlignment="1">
      <alignment horizontal="center"/>
    </xf>
    <xf numFmtId="168" fontId="49" fillId="18" borderId="40" xfId="3" applyNumberFormat="1" applyFont="1" applyFill="1" applyBorder="1" applyAlignment="1" applyProtection="1">
      <alignment horizontal="right" vertical="center" indent="1"/>
      <protection locked="0"/>
    </xf>
    <xf numFmtId="168" fontId="49" fillId="19" borderId="40" xfId="2" applyNumberFormat="1" applyFont="1" applyFill="1" applyBorder="1" applyAlignment="1">
      <alignment horizontal="right" vertical="center" wrapText="1" indent="1"/>
    </xf>
    <xf numFmtId="168" fontId="48" fillId="18" borderId="40" xfId="3" applyNumberFormat="1" applyFont="1" applyFill="1" applyBorder="1" applyAlignment="1" applyProtection="1">
      <alignment horizontal="right" vertical="center" indent="1"/>
      <protection locked="0"/>
    </xf>
    <xf numFmtId="0" fontId="35" fillId="0" borderId="0" xfId="0" applyFont="1"/>
    <xf numFmtId="0" fontId="53" fillId="0" borderId="0" xfId="2" applyNumberFormat="1" applyFont="1">
      <alignment vertical="center"/>
    </xf>
    <xf numFmtId="0" fontId="48" fillId="17" borderId="11" xfId="2" applyNumberFormat="1" applyFont="1" applyFill="1" applyBorder="1" applyAlignment="1">
      <alignment vertical="center" wrapText="1"/>
    </xf>
    <xf numFmtId="3" fontId="48" fillId="17" borderId="40" xfId="2" applyFont="1" applyFill="1" applyBorder="1">
      <alignment vertical="center"/>
    </xf>
    <xf numFmtId="3" fontId="48" fillId="17" borderId="40" xfId="2" applyFont="1" applyFill="1" applyBorder="1" applyAlignment="1">
      <alignment horizontal="center" vertical="center"/>
    </xf>
    <xf numFmtId="3" fontId="48" fillId="17" borderId="40" xfId="2" applyFont="1" applyFill="1" applyBorder="1" applyAlignment="1">
      <alignment vertical="center" wrapText="1"/>
    </xf>
    <xf numFmtId="3" fontId="47" fillId="17" borderId="40" xfId="2" applyFont="1" applyFill="1" applyBorder="1" applyAlignment="1">
      <alignment vertical="center" wrapText="1"/>
    </xf>
    <xf numFmtId="0" fontId="34" fillId="0" borderId="0" xfId="2" applyNumberFormat="1" applyFont="1">
      <alignment vertical="center"/>
    </xf>
    <xf numFmtId="0" fontId="9" fillId="0" borderId="0" xfId="2" applyNumberFormat="1" applyFont="1" applyAlignment="1">
      <alignment horizontal="center" vertical="center" wrapText="1"/>
    </xf>
    <xf numFmtId="166" fontId="15" fillId="2" borderId="51" xfId="1" applyNumberFormat="1" applyFont="1" applyFill="1" applyBorder="1" applyAlignment="1" applyProtection="1">
      <alignment horizontal="right" vertical="center" indent="1"/>
    </xf>
    <xf numFmtId="166" fontId="15" fillId="2" borderId="52" xfId="1" applyNumberFormat="1" applyFont="1" applyFill="1" applyBorder="1" applyAlignment="1" applyProtection="1">
      <alignment horizontal="center" vertical="center" wrapText="1"/>
    </xf>
    <xf numFmtId="166" fontId="15" fillId="2" borderId="54" xfId="1" applyNumberFormat="1" applyFont="1" applyFill="1" applyBorder="1" applyAlignment="1" applyProtection="1">
      <alignment horizontal="right" vertical="center" indent="1"/>
    </xf>
    <xf numFmtId="0" fontId="9" fillId="17" borderId="40" xfId="2" applyNumberFormat="1" applyFont="1" applyFill="1" applyBorder="1" applyAlignment="1">
      <alignment horizontal="center" vertical="center" wrapText="1"/>
    </xf>
    <xf numFmtId="0" fontId="15" fillId="17" borderId="40" xfId="2" applyNumberFormat="1" applyFont="1" applyFill="1" applyBorder="1" applyAlignment="1">
      <alignment horizontal="center" vertical="center" wrapText="1"/>
    </xf>
    <xf numFmtId="169" fontId="15" fillId="3" borderId="52" xfId="2" applyNumberFormat="1" applyFont="1" applyFill="1" applyBorder="1" applyAlignment="1">
      <alignment horizontal="right" vertical="center" indent="1"/>
    </xf>
    <xf numFmtId="170" fontId="15" fillId="5" borderId="52" xfId="2" applyNumberFormat="1" applyFont="1" applyFill="1" applyBorder="1" applyAlignment="1" applyProtection="1">
      <alignment horizontal="right" vertical="center" indent="1"/>
      <protection locked="0"/>
    </xf>
    <xf numFmtId="170" fontId="15" fillId="3" borderId="73" xfId="2" applyNumberFormat="1" applyFont="1" applyFill="1" applyBorder="1" applyAlignment="1">
      <alignment horizontal="center" vertical="center" wrapText="1"/>
    </xf>
    <xf numFmtId="170" fontId="15" fillId="7" borderId="52" xfId="2" applyNumberFormat="1" applyFont="1" applyFill="1" applyBorder="1" applyAlignment="1">
      <alignment horizontal="right" vertical="center" indent="1"/>
    </xf>
    <xf numFmtId="3" fontId="14" fillId="5" borderId="73" xfId="2" applyFont="1" applyFill="1" applyBorder="1" applyAlignment="1">
      <alignment horizontal="center" vertical="center"/>
    </xf>
    <xf numFmtId="3" fontId="14" fillId="5" borderId="54" xfId="2" applyFont="1" applyFill="1" applyBorder="1" applyAlignment="1">
      <alignment horizontal="center" vertical="center"/>
    </xf>
    <xf numFmtId="0" fontId="58" fillId="17" borderId="40" xfId="2" applyNumberFormat="1" applyFont="1" applyFill="1" applyBorder="1" applyAlignment="1">
      <alignment horizontal="center" vertical="center" wrapText="1"/>
    </xf>
    <xf numFmtId="0" fontId="35" fillId="17" borderId="40" xfId="2" applyNumberFormat="1" applyFont="1" applyFill="1" applyBorder="1" applyAlignment="1">
      <alignment horizontal="center" vertical="center" wrapText="1"/>
    </xf>
    <xf numFmtId="0" fontId="56" fillId="0" borderId="0" xfId="2" applyNumberFormat="1" applyFont="1" applyAlignment="1">
      <alignment horizontal="center" vertical="center" wrapText="1"/>
    </xf>
    <xf numFmtId="0" fontId="59" fillId="17" borderId="40" xfId="2" applyNumberFormat="1" applyFont="1" applyFill="1" applyBorder="1" applyAlignment="1">
      <alignment horizontal="center" vertical="center" wrapText="1"/>
    </xf>
    <xf numFmtId="0" fontId="59" fillId="17" borderId="40" xfId="2" applyNumberFormat="1" applyFont="1" applyFill="1" applyBorder="1" applyAlignment="1">
      <alignment vertical="center" wrapText="1"/>
    </xf>
    <xf numFmtId="0" fontId="59" fillId="0" borderId="0" xfId="0" applyFont="1"/>
    <xf numFmtId="0" fontId="7" fillId="17" borderId="23" xfId="2" applyNumberFormat="1" applyFont="1" applyFill="1" applyBorder="1" applyAlignment="1">
      <alignment horizontal="left" vertical="center" wrapText="1"/>
    </xf>
    <xf numFmtId="0" fontId="18" fillId="17" borderId="10" xfId="2" applyNumberFormat="1" applyFont="1" applyFill="1" applyBorder="1" applyAlignment="1">
      <alignment horizontal="right" vertical="center" wrapText="1" indent="1"/>
    </xf>
    <xf numFmtId="0" fontId="7" fillId="17" borderId="24" xfId="2" applyNumberFormat="1" applyFont="1" applyFill="1" applyBorder="1" applyAlignment="1">
      <alignment horizontal="left" vertical="center"/>
    </xf>
    <xf numFmtId="0" fontId="7" fillId="17" borderId="24" xfId="2" applyNumberFormat="1" applyFont="1" applyFill="1" applyBorder="1" applyAlignment="1">
      <alignment horizontal="left" vertical="center" wrapText="1"/>
    </xf>
    <xf numFmtId="0" fontId="18" fillId="17" borderId="8" xfId="2" applyNumberFormat="1" applyFont="1" applyFill="1" applyBorder="1" applyAlignment="1">
      <alignment horizontal="right" vertical="center" wrapText="1" indent="1"/>
    </xf>
    <xf numFmtId="3" fontId="56" fillId="0" borderId="0" xfId="2" applyFont="1">
      <alignment vertical="center"/>
    </xf>
    <xf numFmtId="3" fontId="48" fillId="16" borderId="0" xfId="2" applyFont="1" applyFill="1" applyAlignment="1">
      <alignment horizontal="left" vertical="center"/>
    </xf>
    <xf numFmtId="1" fontId="48" fillId="16" borderId="0" xfId="2" applyNumberFormat="1" applyFont="1" applyFill="1" applyProtection="1">
      <alignment vertical="center"/>
      <protection locked="0"/>
    </xf>
    <xf numFmtId="165" fontId="48" fillId="16" borderId="0" xfId="2" applyNumberFormat="1" applyFont="1" applyFill="1">
      <alignment vertical="center"/>
    </xf>
    <xf numFmtId="3" fontId="48" fillId="16" borderId="0" xfId="2" applyFont="1" applyFill="1">
      <alignment vertical="center"/>
    </xf>
    <xf numFmtId="0" fontId="9" fillId="17" borderId="0" xfId="0" applyFont="1" applyFill="1"/>
    <xf numFmtId="0" fontId="7" fillId="17" borderId="10" xfId="2" applyNumberFormat="1" applyFont="1" applyFill="1" applyBorder="1" applyAlignment="1">
      <alignment horizontal="left" vertical="center"/>
    </xf>
    <xf numFmtId="0" fontId="15" fillId="21" borderId="40" xfId="2" applyNumberFormat="1" applyFont="1" applyFill="1" applyBorder="1" applyAlignment="1">
      <alignment horizontal="center" vertical="center" wrapText="1"/>
    </xf>
    <xf numFmtId="0" fontId="59" fillId="21" borderId="40" xfId="2" applyNumberFormat="1" applyFont="1" applyFill="1" applyBorder="1" applyAlignment="1">
      <alignment horizontal="center" vertical="center" wrapText="1"/>
    </xf>
    <xf numFmtId="166" fontId="15" fillId="21" borderId="50" xfId="1" applyNumberFormat="1" applyFont="1" applyFill="1" applyBorder="1" applyAlignment="1" applyProtection="1">
      <alignment horizontal="right" vertical="center" indent="1"/>
    </xf>
    <xf numFmtId="166" fontId="15" fillId="21" borderId="32" xfId="1" applyNumberFormat="1" applyFont="1" applyFill="1" applyBorder="1" applyAlignment="1" applyProtection="1">
      <alignment horizontal="right" vertical="center" indent="1"/>
    </xf>
    <xf numFmtId="0" fontId="16" fillId="17" borderId="12" xfId="0" applyFont="1" applyFill="1" applyBorder="1" applyAlignment="1">
      <alignment horizontal="right"/>
    </xf>
    <xf numFmtId="0" fontId="9" fillId="17" borderId="1" xfId="0" applyFont="1" applyFill="1" applyBorder="1"/>
    <xf numFmtId="0" fontId="63" fillId="0" borderId="0" xfId="0" applyFont="1"/>
    <xf numFmtId="0" fontId="43" fillId="21" borderId="40" xfId="2" applyNumberFormat="1" applyFont="1" applyFill="1" applyBorder="1" applyAlignment="1">
      <alignment horizontal="center" vertical="center" wrapText="1"/>
    </xf>
    <xf numFmtId="0" fontId="59" fillId="0" borderId="0" xfId="0" applyFont="1" applyAlignment="1">
      <alignment horizontal="center"/>
    </xf>
    <xf numFmtId="166" fontId="15" fillId="21" borderId="55" xfId="1" applyNumberFormat="1" applyFont="1" applyFill="1" applyBorder="1" applyAlignment="1" applyProtection="1">
      <alignment horizontal="right" vertical="center" indent="1"/>
    </xf>
    <xf numFmtId="0" fontId="64" fillId="17" borderId="0" xfId="0" applyFont="1" applyFill="1"/>
    <xf numFmtId="0" fontId="0" fillId="17" borderId="0" xfId="0" applyFill="1"/>
    <xf numFmtId="2" fontId="0" fillId="17" borderId="0" xfId="0" applyNumberFormat="1" applyFill="1"/>
    <xf numFmtId="0" fontId="10" fillId="17" borderId="40" xfId="2" applyNumberFormat="1" applyFont="1" applyFill="1" applyBorder="1" applyAlignment="1">
      <alignment horizontal="left" vertical="center" wrapText="1"/>
    </xf>
    <xf numFmtId="0" fontId="14" fillId="17" borderId="40" xfId="2" applyNumberFormat="1" applyFont="1" applyFill="1" applyBorder="1" applyAlignment="1">
      <alignment horizontal="left" vertical="center" wrapText="1"/>
    </xf>
    <xf numFmtId="0" fontId="7" fillId="17" borderId="40" xfId="2" applyNumberFormat="1" applyFont="1" applyFill="1" applyBorder="1" applyAlignment="1">
      <alignment horizontal="left" vertical="center" wrapText="1"/>
    </xf>
    <xf numFmtId="0" fontId="10" fillId="17" borderId="40" xfId="2" applyNumberFormat="1" applyFont="1" applyFill="1" applyBorder="1" applyAlignment="1">
      <alignment vertical="center" wrapText="1"/>
    </xf>
    <xf numFmtId="0" fontId="18" fillId="17" borderId="40" xfId="2" applyNumberFormat="1" applyFont="1" applyFill="1" applyBorder="1" applyAlignment="1">
      <alignment horizontal="right" vertical="center" wrapText="1" indent="1"/>
    </xf>
    <xf numFmtId="3" fontId="18" fillId="17" borderId="40" xfId="2" applyFont="1" applyFill="1" applyBorder="1" applyAlignment="1">
      <alignment horizontal="right" vertical="center" indent="1"/>
    </xf>
    <xf numFmtId="0" fontId="7" fillId="17" borderId="40" xfId="2" applyNumberFormat="1" applyFont="1" applyFill="1" applyBorder="1" applyAlignment="1">
      <alignment horizontal="left" vertical="center"/>
    </xf>
    <xf numFmtId="170" fontId="15" fillId="3" borderId="51" xfId="2" applyNumberFormat="1" applyFont="1" applyFill="1" applyBorder="1" applyAlignment="1">
      <alignment horizontal="center" vertical="center" wrapText="1"/>
    </xf>
    <xf numFmtId="170" fontId="15" fillId="3" borderId="30" xfId="2" applyNumberFormat="1" applyFont="1" applyFill="1" applyBorder="1" applyAlignment="1" applyProtection="1">
      <alignment horizontal="right" vertical="center" indent="1"/>
      <protection locked="0"/>
    </xf>
    <xf numFmtId="170" fontId="15" fillId="3" borderId="30" xfId="2" applyNumberFormat="1" applyFont="1" applyFill="1" applyBorder="1" applyAlignment="1">
      <alignment horizontal="right" vertical="center" indent="1"/>
    </xf>
    <xf numFmtId="170" fontId="15" fillId="3" borderId="31" xfId="2" applyNumberFormat="1" applyFont="1" applyFill="1" applyBorder="1" applyAlignment="1">
      <alignment horizontal="right" vertical="center" indent="1"/>
    </xf>
    <xf numFmtId="0" fontId="7" fillId="17" borderId="7" xfId="2" applyNumberFormat="1" applyFont="1" applyFill="1" applyBorder="1" applyAlignment="1">
      <alignment horizontal="left" vertical="center" wrapText="1"/>
    </xf>
    <xf numFmtId="0" fontId="18" fillId="17" borderId="7" xfId="2" applyNumberFormat="1" applyFont="1" applyFill="1" applyBorder="1" applyAlignment="1">
      <alignment horizontal="right" vertical="center" wrapText="1" indent="1"/>
    </xf>
    <xf numFmtId="0" fontId="7" fillId="17" borderId="0" xfId="2" applyNumberFormat="1" applyFont="1" applyFill="1" applyAlignment="1">
      <alignment horizontal="left" vertical="center" wrapText="1"/>
    </xf>
    <xf numFmtId="0" fontId="7" fillId="17" borderId="0" xfId="2" applyNumberFormat="1" applyFont="1" applyFill="1" applyAlignment="1">
      <alignment vertical="center" wrapText="1"/>
    </xf>
    <xf numFmtId="0" fontId="15" fillId="17" borderId="46" xfId="2" applyNumberFormat="1" applyFont="1" applyFill="1" applyBorder="1" applyAlignment="1">
      <alignment horizontal="center" vertical="center" wrapText="1"/>
    </xf>
    <xf numFmtId="0" fontId="7" fillId="17" borderId="74" xfId="2" applyNumberFormat="1" applyFont="1" applyFill="1" applyBorder="1" applyAlignment="1">
      <alignment horizontal="left" vertical="center"/>
    </xf>
    <xf numFmtId="0" fontId="9" fillId="6" borderId="12" xfId="0" applyFont="1" applyFill="1" applyBorder="1"/>
    <xf numFmtId="0" fontId="7" fillId="17" borderId="75" xfId="2" applyNumberFormat="1" applyFont="1" applyFill="1" applyBorder="1" applyAlignment="1">
      <alignment horizontal="left" vertical="center"/>
    </xf>
    <xf numFmtId="0" fontId="7" fillId="17" borderId="76" xfId="2" applyNumberFormat="1" applyFont="1" applyFill="1" applyBorder="1" applyAlignment="1">
      <alignment horizontal="left" vertical="center"/>
    </xf>
    <xf numFmtId="0" fontId="7" fillId="17" borderId="77" xfId="2" applyNumberFormat="1" applyFont="1" applyFill="1" applyBorder="1" applyAlignment="1">
      <alignment horizontal="left" vertical="center" wrapText="1"/>
    </xf>
    <xf numFmtId="0" fontId="18" fillId="17" borderId="44" xfId="2" applyNumberFormat="1" applyFont="1" applyFill="1" applyBorder="1" applyAlignment="1">
      <alignment horizontal="right" vertical="center" wrapText="1" indent="1"/>
    </xf>
    <xf numFmtId="3" fontId="14" fillId="5" borderId="78" xfId="2" applyFont="1" applyFill="1" applyBorder="1" applyAlignment="1">
      <alignment horizontal="center" vertical="center"/>
    </xf>
    <xf numFmtId="3" fontId="14" fillId="5" borderId="79" xfId="2" applyFont="1" applyFill="1" applyBorder="1" applyAlignment="1">
      <alignment horizontal="center" vertical="center"/>
    </xf>
    <xf numFmtId="170" fontId="15" fillId="3" borderId="78" xfId="2" applyNumberFormat="1" applyFont="1" applyFill="1" applyBorder="1" applyAlignment="1">
      <alignment horizontal="right" vertical="center" indent="1"/>
    </xf>
    <xf numFmtId="170" fontId="15" fillId="3" borderId="80" xfId="2" applyNumberFormat="1" applyFont="1" applyFill="1" applyBorder="1" applyAlignment="1">
      <alignment horizontal="right" vertical="center" indent="1"/>
    </xf>
    <xf numFmtId="171" fontId="15" fillId="3" borderId="81" xfId="2" applyNumberFormat="1" applyFont="1" applyFill="1" applyBorder="1" applyAlignment="1">
      <alignment horizontal="right" vertical="center" indent="1"/>
    </xf>
    <xf numFmtId="170" fontId="15" fillId="3" borderId="79" xfId="2" applyNumberFormat="1" applyFont="1" applyFill="1" applyBorder="1" applyAlignment="1">
      <alignment horizontal="right" vertical="center" indent="1"/>
    </xf>
    <xf numFmtId="170" fontId="15" fillId="5" borderId="80" xfId="2" applyNumberFormat="1" applyFont="1" applyFill="1" applyBorder="1">
      <alignment vertical="center"/>
    </xf>
    <xf numFmtId="170" fontId="15" fillId="5" borderId="80" xfId="2" applyNumberFormat="1" applyFont="1" applyFill="1" applyBorder="1" applyAlignment="1" applyProtection="1">
      <alignment horizontal="right" vertical="center" indent="1"/>
      <protection locked="0"/>
    </xf>
    <xf numFmtId="166" fontId="15" fillId="2" borderId="80" xfId="1" applyNumberFormat="1" applyFont="1" applyFill="1" applyBorder="1" applyAlignment="1" applyProtection="1">
      <alignment horizontal="right" vertical="center" indent="1"/>
    </xf>
    <xf numFmtId="166" fontId="15" fillId="2" borderId="82" xfId="1" applyNumberFormat="1" applyFont="1" applyFill="1" applyBorder="1" applyAlignment="1" applyProtection="1">
      <alignment horizontal="right" vertical="center" indent="1"/>
    </xf>
    <xf numFmtId="0" fontId="9" fillId="6" borderId="4" xfId="0" applyFont="1" applyFill="1" applyBorder="1"/>
    <xf numFmtId="0" fontId="59" fillId="17" borderId="40" xfId="2" applyNumberFormat="1" applyFont="1" applyFill="1" applyBorder="1" applyAlignment="1">
      <alignment horizontal="right" vertical="center" wrapText="1"/>
    </xf>
    <xf numFmtId="0" fontId="61" fillId="17" borderId="40" xfId="2" applyNumberFormat="1" applyFont="1" applyFill="1" applyBorder="1" applyAlignment="1">
      <alignment horizontal="right" vertical="center" wrapText="1"/>
    </xf>
    <xf numFmtId="0" fontId="7" fillId="17" borderId="40" xfId="2" applyNumberFormat="1" applyFont="1" applyFill="1" applyBorder="1">
      <alignment vertical="center"/>
    </xf>
    <xf numFmtId="0" fontId="7" fillId="17" borderId="40" xfId="2" applyNumberFormat="1" applyFont="1" applyFill="1" applyBorder="1" applyAlignment="1">
      <alignment horizontal="center" vertical="center"/>
    </xf>
    <xf numFmtId="167" fontId="15" fillId="3" borderId="40" xfId="2" applyNumberFormat="1" applyFont="1" applyFill="1" applyBorder="1" applyAlignment="1">
      <alignment horizontal="right" vertical="center" wrapText="1"/>
    </xf>
    <xf numFmtId="167" fontId="15" fillId="3" borderId="40" xfId="2" applyNumberFormat="1" applyFont="1" applyFill="1" applyBorder="1" applyAlignment="1" applyProtection="1">
      <alignment horizontal="right" vertical="center"/>
      <protection locked="0"/>
    </xf>
    <xf numFmtId="166" fontId="15" fillId="21" borderId="51" xfId="1" applyNumberFormat="1" applyFont="1" applyFill="1" applyBorder="1" applyAlignment="1" applyProtection="1">
      <alignment horizontal="right" vertical="center" indent="1"/>
    </xf>
    <xf numFmtId="166" fontId="15" fillId="21" borderId="52" xfId="1" applyNumberFormat="1" applyFont="1" applyFill="1" applyBorder="1" applyAlignment="1" applyProtection="1">
      <alignment horizontal="center" vertical="center" wrapText="1"/>
    </xf>
    <xf numFmtId="166" fontId="15" fillId="21" borderId="28" xfId="1" applyNumberFormat="1" applyFont="1" applyFill="1" applyBorder="1" applyAlignment="1" applyProtection="1">
      <alignment horizontal="right" vertical="center" indent="1"/>
    </xf>
    <xf numFmtId="166" fontId="15" fillId="21" borderId="80" xfId="1" applyNumberFormat="1" applyFont="1" applyFill="1" applyBorder="1" applyAlignment="1" applyProtection="1">
      <alignment horizontal="right" vertical="center" indent="1"/>
    </xf>
    <xf numFmtId="172" fontId="15" fillId="21" borderId="2" xfId="1" applyNumberFormat="1" applyFont="1" applyFill="1" applyBorder="1" applyAlignment="1" applyProtection="1">
      <alignment horizontal="center" vertical="center"/>
    </xf>
    <xf numFmtId="172" fontId="15" fillId="21" borderId="56" xfId="1" applyNumberFormat="1" applyFont="1" applyFill="1" applyBorder="1" applyAlignment="1" applyProtection="1">
      <alignment horizontal="center" vertical="center"/>
    </xf>
    <xf numFmtId="172" fontId="15" fillId="21" borderId="17" xfId="1" applyNumberFormat="1" applyFont="1" applyFill="1" applyBorder="1" applyAlignment="1" applyProtection="1">
      <alignment horizontal="center" vertical="center"/>
    </xf>
    <xf numFmtId="172" fontId="15" fillId="21" borderId="57" xfId="1" applyNumberFormat="1" applyFont="1" applyFill="1" applyBorder="1" applyAlignment="1" applyProtection="1">
      <alignment horizontal="center" vertical="center"/>
    </xf>
    <xf numFmtId="0" fontId="66" fillId="21" borderId="11" xfId="0" applyFont="1" applyFill="1" applyBorder="1" applyAlignment="1">
      <alignment horizontal="centerContinuous"/>
    </xf>
    <xf numFmtId="49" fontId="7" fillId="5" borderId="40" xfId="2" applyNumberFormat="1" applyFont="1" applyFill="1" applyBorder="1" applyAlignment="1" applyProtection="1">
      <alignment horizontal="right" vertical="center"/>
      <protection locked="0"/>
    </xf>
    <xf numFmtId="165" fontId="7" fillId="7" borderId="40" xfId="2" applyNumberFormat="1" applyFont="1" applyFill="1" applyBorder="1">
      <alignment vertical="center"/>
    </xf>
    <xf numFmtId="165" fontId="7" fillId="3" borderId="40" xfId="2" applyNumberFormat="1" applyFont="1" applyFill="1" applyBorder="1">
      <alignment vertical="center"/>
    </xf>
    <xf numFmtId="0" fontId="9" fillId="6" borderId="40" xfId="0" applyFont="1" applyFill="1" applyBorder="1"/>
    <xf numFmtId="0" fontId="9" fillId="0" borderId="69" xfId="0" applyFont="1" applyBorder="1"/>
    <xf numFmtId="3" fontId="47" fillId="0" borderId="0" xfId="2" applyFont="1" applyAlignment="1">
      <alignment vertical="center" wrapText="1"/>
    </xf>
    <xf numFmtId="3" fontId="47" fillId="0" borderId="0" xfId="2" applyFont="1" applyAlignment="1">
      <alignment horizontal="center" vertical="center" wrapText="1"/>
    </xf>
    <xf numFmtId="49" fontId="67" fillId="0" borderId="40" xfId="2" applyNumberFormat="1" applyFont="1" applyBorder="1" applyProtection="1">
      <alignment vertical="center"/>
      <protection locked="0"/>
    </xf>
    <xf numFmtId="3" fontId="67" fillId="0" borderId="40" xfId="2" applyFont="1" applyBorder="1">
      <alignment vertical="center"/>
    </xf>
    <xf numFmtId="170" fontId="14" fillId="5" borderId="40" xfId="2" applyNumberFormat="1" applyFont="1" applyFill="1" applyBorder="1" applyAlignment="1">
      <alignment horizontal="right" vertical="center"/>
    </xf>
    <xf numFmtId="0" fontId="7" fillId="17" borderId="83" xfId="2" applyNumberFormat="1" applyFont="1" applyFill="1" applyBorder="1" applyAlignment="1">
      <alignment horizontal="left" vertical="center"/>
    </xf>
    <xf numFmtId="166" fontId="15" fillId="7" borderId="84" xfId="1" applyNumberFormat="1" applyFont="1" applyFill="1" applyBorder="1" applyAlignment="1" applyProtection="1">
      <alignment horizontal="right" vertical="center" indent="1"/>
    </xf>
    <xf numFmtId="166" fontId="15" fillId="7" borderId="85" xfId="1" applyNumberFormat="1" applyFont="1" applyFill="1" applyBorder="1" applyAlignment="1" applyProtection="1">
      <alignment horizontal="right" vertical="center" indent="1"/>
    </xf>
    <xf numFmtId="166" fontId="15" fillId="21" borderId="86" xfId="1" applyNumberFormat="1" applyFont="1" applyFill="1" applyBorder="1" applyAlignment="1" applyProtection="1">
      <alignment horizontal="right" vertical="center" indent="1"/>
    </xf>
    <xf numFmtId="166" fontId="15" fillId="21" borderId="84" xfId="1" applyNumberFormat="1" applyFont="1" applyFill="1" applyBorder="1" applyAlignment="1" applyProtection="1">
      <alignment horizontal="right" vertical="center" indent="1"/>
    </xf>
    <xf numFmtId="166" fontId="15" fillId="21" borderId="85" xfId="1" applyNumberFormat="1" applyFont="1" applyFill="1" applyBorder="1" applyAlignment="1" applyProtection="1">
      <alignment horizontal="right" vertical="center" indent="1"/>
    </xf>
    <xf numFmtId="166" fontId="15" fillId="7" borderId="87" xfId="1" applyNumberFormat="1" applyFont="1" applyFill="1" applyBorder="1" applyAlignment="1" applyProtection="1">
      <alignment horizontal="right" vertical="center" indent="1"/>
    </xf>
    <xf numFmtId="166" fontId="15" fillId="7" borderId="88" xfId="1" applyNumberFormat="1" applyFont="1" applyFill="1" applyBorder="1" applyAlignment="1" applyProtection="1">
      <alignment horizontal="right" vertical="center" indent="1"/>
    </xf>
    <xf numFmtId="0" fontId="16" fillId="17" borderId="0" xfId="0" applyFont="1" applyFill="1" applyAlignment="1">
      <alignment horizontal="right"/>
    </xf>
    <xf numFmtId="0" fontId="9" fillId="17" borderId="69" xfId="0" applyFont="1" applyFill="1" applyBorder="1"/>
    <xf numFmtId="166" fontId="15" fillId="7" borderId="89" xfId="1" applyNumberFormat="1" applyFont="1" applyFill="1" applyBorder="1" applyAlignment="1" applyProtection="1">
      <alignment horizontal="right" vertical="center" indent="1"/>
    </xf>
    <xf numFmtId="0" fontId="9" fillId="0" borderId="67" xfId="0" applyFont="1" applyBorder="1"/>
    <xf numFmtId="0" fontId="7" fillId="17" borderId="90" xfId="2" applyNumberFormat="1" applyFont="1" applyFill="1" applyBorder="1" applyAlignment="1">
      <alignment horizontal="left" vertical="center"/>
    </xf>
    <xf numFmtId="0" fontId="7" fillId="17" borderId="91" xfId="2" applyNumberFormat="1" applyFont="1" applyFill="1" applyBorder="1" applyAlignment="1">
      <alignment horizontal="left" vertical="center"/>
    </xf>
    <xf numFmtId="0" fontId="7" fillId="17" borderId="92" xfId="2" applyNumberFormat="1" applyFont="1" applyFill="1" applyBorder="1" applyAlignment="1">
      <alignment horizontal="left" vertical="center"/>
    </xf>
    <xf numFmtId="166" fontId="15" fillId="2" borderId="93" xfId="1" applyNumberFormat="1" applyFont="1" applyFill="1" applyBorder="1" applyAlignment="1" applyProtection="1">
      <alignment horizontal="right" vertical="center" indent="1"/>
    </xf>
    <xf numFmtId="166" fontId="15" fillId="2" borderId="94" xfId="1" applyNumberFormat="1" applyFont="1" applyFill="1" applyBorder="1" applyAlignment="1" applyProtection="1">
      <alignment horizontal="right" vertical="center" indent="1"/>
    </xf>
    <xf numFmtId="166" fontId="15" fillId="21" borderId="94" xfId="1" applyNumberFormat="1" applyFont="1" applyFill="1" applyBorder="1" applyAlignment="1" applyProtection="1">
      <alignment horizontal="right" vertical="center" indent="1"/>
    </xf>
    <xf numFmtId="166" fontId="15" fillId="7" borderId="95" xfId="1" applyNumberFormat="1" applyFont="1" applyFill="1" applyBorder="1" applyAlignment="1" applyProtection="1">
      <alignment horizontal="right" vertical="center" indent="1"/>
    </xf>
    <xf numFmtId="0" fontId="41" fillId="11" borderId="64" xfId="0" applyFont="1" applyFill="1" applyBorder="1" applyAlignment="1">
      <alignment vertical="center"/>
    </xf>
    <xf numFmtId="166" fontId="7" fillId="6" borderId="83" xfId="1" applyNumberFormat="1" applyFont="1" applyFill="1" applyBorder="1" applyAlignment="1">
      <alignment horizontal="left" vertical="center"/>
    </xf>
    <xf numFmtId="0" fontId="9" fillId="17" borderId="65" xfId="0" applyFont="1" applyFill="1" applyBorder="1" applyAlignment="1">
      <alignment horizontal="center"/>
    </xf>
    <xf numFmtId="0" fontId="35" fillId="3" borderId="65" xfId="0" applyFont="1" applyFill="1" applyBorder="1" applyAlignment="1">
      <alignment horizontal="center"/>
    </xf>
    <xf numFmtId="0" fontId="59" fillId="3" borderId="97" xfId="0" applyFont="1" applyFill="1" applyBorder="1" applyAlignment="1">
      <alignment horizontal="center"/>
    </xf>
    <xf numFmtId="0" fontId="9" fillId="21" borderId="98" xfId="0" applyFont="1" applyFill="1" applyBorder="1" applyAlignment="1">
      <alignment horizontal="center"/>
    </xf>
    <xf numFmtId="0" fontId="59" fillId="21" borderId="96" xfId="0" applyFont="1" applyFill="1" applyBorder="1" applyAlignment="1">
      <alignment horizontal="center"/>
    </xf>
    <xf numFmtId="0" fontId="59" fillId="21" borderId="66" xfId="0" applyFont="1" applyFill="1" applyBorder="1" applyAlignment="1">
      <alignment horizontal="center"/>
    </xf>
    <xf numFmtId="0" fontId="9" fillId="17" borderId="67" xfId="0" applyFont="1" applyFill="1" applyBorder="1"/>
    <xf numFmtId="0" fontId="9" fillId="21" borderId="99" xfId="0" applyFont="1" applyFill="1" applyBorder="1" applyAlignment="1">
      <alignment horizontal="centerContinuous"/>
    </xf>
    <xf numFmtId="0" fontId="41" fillId="11" borderId="67" xfId="0" applyFont="1" applyFill="1" applyBorder="1" applyAlignment="1">
      <alignment vertical="center"/>
    </xf>
    <xf numFmtId="172" fontId="15" fillId="13" borderId="100" xfId="1" applyNumberFormat="1" applyFont="1" applyFill="1" applyBorder="1" applyAlignment="1" applyProtection="1">
      <alignment horizontal="center" vertical="center"/>
    </xf>
    <xf numFmtId="172" fontId="9" fillId="0" borderId="0" xfId="0" applyNumberFormat="1" applyFont="1" applyAlignment="1">
      <alignment horizontal="center"/>
    </xf>
    <xf numFmtId="172" fontId="9" fillId="0" borderId="69" xfId="0" applyNumberFormat="1" applyFont="1" applyBorder="1" applyAlignment="1">
      <alignment horizontal="center"/>
    </xf>
    <xf numFmtId="172" fontId="15" fillId="21" borderId="101" xfId="1" applyNumberFormat="1" applyFont="1" applyFill="1" applyBorder="1" applyAlignment="1" applyProtection="1">
      <alignment horizontal="center" vertical="center"/>
    </xf>
    <xf numFmtId="172" fontId="15" fillId="21" borderId="102" xfId="1" applyNumberFormat="1" applyFont="1" applyFill="1" applyBorder="1" applyAlignment="1" applyProtection="1">
      <alignment horizontal="center" vertical="center"/>
    </xf>
    <xf numFmtId="0" fontId="41" fillId="11" borderId="70" xfId="0" applyFont="1" applyFill="1" applyBorder="1" applyAlignment="1">
      <alignment vertical="center"/>
    </xf>
    <xf numFmtId="172" fontId="15" fillId="0" borderId="103" xfId="1" applyNumberFormat="1" applyFont="1" applyFill="1" applyBorder="1" applyAlignment="1" applyProtection="1">
      <alignment horizontal="center" vertical="center"/>
    </xf>
    <xf numFmtId="172" fontId="15" fillId="0" borderId="104" xfId="1" applyNumberFormat="1" applyFont="1" applyFill="1" applyBorder="1" applyAlignment="1" applyProtection="1">
      <alignment horizontal="center" vertical="center"/>
    </xf>
    <xf numFmtId="172" fontId="42" fillId="12" borderId="104" xfId="1" applyNumberFormat="1" applyFont="1" applyFill="1" applyBorder="1" applyAlignment="1" applyProtection="1">
      <alignment horizontal="center" vertical="center"/>
    </xf>
    <xf numFmtId="172" fontId="15" fillId="6" borderId="105" xfId="1" applyNumberFormat="1" applyFont="1" applyFill="1" applyBorder="1" applyAlignment="1" applyProtection="1">
      <alignment horizontal="center" vertical="center"/>
    </xf>
    <xf numFmtId="172" fontId="15" fillId="15" borderId="106" xfId="1" applyNumberFormat="1" applyFont="1" applyFill="1" applyBorder="1" applyAlignment="1" applyProtection="1">
      <alignment horizontal="center" vertical="center"/>
    </xf>
    <xf numFmtId="172" fontId="42" fillId="14" borderId="103" xfId="1" applyNumberFormat="1" applyFont="1" applyFill="1" applyBorder="1" applyAlignment="1" applyProtection="1">
      <alignment horizontal="center" vertical="center"/>
    </xf>
    <xf numFmtId="172" fontId="15" fillId="13" borderId="107" xfId="1" applyNumberFormat="1" applyFont="1" applyFill="1" applyBorder="1" applyAlignment="1" applyProtection="1">
      <alignment horizontal="center" vertical="center"/>
    </xf>
    <xf numFmtId="0" fontId="1" fillId="0" borderId="0" xfId="0" applyFont="1"/>
    <xf numFmtId="0" fontId="70" fillId="0" borderId="0" xfId="0" applyFont="1"/>
    <xf numFmtId="0" fontId="71" fillId="20" borderId="67" xfId="2" applyNumberFormat="1" applyFont="1" applyFill="1" applyBorder="1" applyAlignment="1">
      <alignment horizontal="center" vertical="center"/>
    </xf>
    <xf numFmtId="0" fontId="71" fillId="20" borderId="70" xfId="2" applyNumberFormat="1" applyFont="1" applyFill="1" applyBorder="1" applyAlignment="1">
      <alignment horizontal="center" vertical="center"/>
    </xf>
    <xf numFmtId="3" fontId="75" fillId="21" borderId="40" xfId="2" applyFont="1" applyFill="1" applyBorder="1" applyAlignment="1">
      <alignment vertical="center" wrapText="1"/>
    </xf>
    <xf numFmtId="49" fontId="76" fillId="0" borderId="40" xfId="2" applyNumberFormat="1" applyFont="1" applyBorder="1" applyProtection="1">
      <alignment vertical="center"/>
      <protection locked="0"/>
    </xf>
    <xf numFmtId="166" fontId="15" fillId="7" borderId="111" xfId="1" applyNumberFormat="1" applyFont="1" applyFill="1" applyBorder="1" applyAlignment="1" applyProtection="1">
      <alignment horizontal="right" vertical="center" indent="1"/>
    </xf>
    <xf numFmtId="166" fontId="15" fillId="7" borderId="101" xfId="1" applyNumberFormat="1" applyFont="1" applyFill="1" applyBorder="1" applyAlignment="1" applyProtection="1">
      <alignment horizontal="right" vertical="center" indent="1"/>
    </xf>
    <xf numFmtId="0" fontId="9" fillId="0" borderId="112" xfId="0" applyFont="1" applyBorder="1"/>
    <xf numFmtId="0" fontId="9" fillId="0" borderId="113" xfId="0" applyFont="1" applyBorder="1"/>
    <xf numFmtId="0" fontId="59" fillId="0" borderId="113" xfId="0" applyFont="1" applyBorder="1"/>
    <xf numFmtId="0" fontId="9" fillId="0" borderId="114" xfId="0" applyFont="1" applyBorder="1"/>
    <xf numFmtId="0" fontId="41" fillId="11" borderId="0" xfId="0" applyFont="1" applyFill="1" applyAlignment="1">
      <alignment vertical="center"/>
    </xf>
    <xf numFmtId="0" fontId="9" fillId="21" borderId="0" xfId="0" applyFont="1" applyFill="1" applyAlignment="1">
      <alignment horizontal="center"/>
    </xf>
    <xf numFmtId="0" fontId="7" fillId="17" borderId="0" xfId="2" applyNumberFormat="1" applyFont="1" applyFill="1" applyAlignment="1">
      <alignment horizontal="left" vertical="center"/>
    </xf>
    <xf numFmtId="0" fontId="44" fillId="12" borderId="0" xfId="2" applyNumberFormat="1" applyFont="1" applyFill="1" applyAlignment="1">
      <alignment horizontal="centerContinuous" vertical="center" wrapText="1"/>
    </xf>
    <xf numFmtId="0" fontId="45" fillId="12" borderId="0" xfId="0" applyFont="1" applyFill="1" applyAlignment="1">
      <alignment horizontal="centerContinuous"/>
    </xf>
    <xf numFmtId="0" fontId="43" fillId="21" borderId="0" xfId="2" applyNumberFormat="1" applyFont="1" applyFill="1" applyAlignment="1">
      <alignment horizontal="center" vertical="center" wrapText="1"/>
    </xf>
    <xf numFmtId="0" fontId="66" fillId="21" borderId="0" xfId="0" applyFont="1" applyFill="1" applyAlignment="1">
      <alignment horizontal="centerContinuous"/>
    </xf>
    <xf numFmtId="172" fontId="15" fillId="0" borderId="0" xfId="1" applyNumberFormat="1" applyFont="1" applyFill="1" applyBorder="1" applyAlignment="1" applyProtection="1">
      <alignment horizontal="center" vertical="center"/>
    </xf>
    <xf numFmtId="172" fontId="42" fillId="12" borderId="0" xfId="1" applyNumberFormat="1" applyFont="1" applyFill="1" applyBorder="1" applyAlignment="1" applyProtection="1">
      <alignment horizontal="center" vertical="center"/>
    </xf>
    <xf numFmtId="172" fontId="15" fillId="6" borderId="0" xfId="1" applyNumberFormat="1" applyFont="1" applyFill="1" applyBorder="1" applyAlignment="1" applyProtection="1">
      <alignment horizontal="center" vertical="center"/>
    </xf>
    <xf numFmtId="172" fontId="15" fillId="15" borderId="0" xfId="1" applyNumberFormat="1" applyFont="1" applyFill="1" applyBorder="1" applyAlignment="1" applyProtection="1">
      <alignment horizontal="center" vertical="center"/>
    </xf>
    <xf numFmtId="172" fontId="42" fillId="14" borderId="0" xfId="1" applyNumberFormat="1" applyFont="1" applyFill="1" applyBorder="1" applyAlignment="1" applyProtection="1">
      <alignment horizontal="center" vertical="center"/>
    </xf>
    <xf numFmtId="0" fontId="41" fillId="11" borderId="65" xfId="0" applyFont="1" applyFill="1" applyBorder="1" applyAlignment="1">
      <alignment vertical="center"/>
    </xf>
    <xf numFmtId="166" fontId="7" fillId="6" borderId="65" xfId="1" applyNumberFormat="1" applyFont="1" applyFill="1" applyBorder="1" applyAlignment="1">
      <alignment horizontal="left" vertical="center"/>
    </xf>
    <xf numFmtId="0" fontId="59" fillId="3" borderId="65" xfId="0" applyFont="1" applyFill="1" applyBorder="1" applyAlignment="1">
      <alignment horizontal="center"/>
    </xf>
    <xf numFmtId="0" fontId="59" fillId="21" borderId="65" xfId="0" applyFont="1" applyFill="1" applyBorder="1" applyAlignment="1">
      <alignment horizontal="center"/>
    </xf>
    <xf numFmtId="0" fontId="9" fillId="21" borderId="69" xfId="0" applyFont="1" applyFill="1" applyBorder="1" applyAlignment="1">
      <alignment horizontal="centerContinuous"/>
    </xf>
    <xf numFmtId="172" fontId="15" fillId="13" borderId="69" xfId="1" applyNumberFormat="1" applyFont="1" applyFill="1" applyBorder="1" applyAlignment="1" applyProtection="1">
      <alignment horizontal="center" vertical="center"/>
    </xf>
    <xf numFmtId="0" fontId="9" fillId="21" borderId="69" xfId="0" applyFont="1" applyFill="1" applyBorder="1" applyAlignment="1">
      <alignment horizontal="center"/>
    </xf>
    <xf numFmtId="0" fontId="7" fillId="17" borderId="71" xfId="2" applyNumberFormat="1" applyFont="1" applyFill="1" applyBorder="1" applyAlignment="1">
      <alignment horizontal="left" vertical="center"/>
    </xf>
    <xf numFmtId="172" fontId="15" fillId="0" borderId="71" xfId="1" applyNumberFormat="1" applyFont="1" applyFill="1" applyBorder="1" applyAlignment="1" applyProtection="1">
      <alignment horizontal="center" vertical="center"/>
    </xf>
    <xf numFmtId="0" fontId="9" fillId="21" borderId="71" xfId="0" applyFont="1" applyFill="1" applyBorder="1" applyAlignment="1">
      <alignment horizontal="center"/>
    </xf>
    <xf numFmtId="0" fontId="9" fillId="21" borderId="72" xfId="0" applyFont="1" applyFill="1" applyBorder="1" applyAlignment="1">
      <alignment horizontal="center"/>
    </xf>
    <xf numFmtId="0" fontId="41" fillId="11" borderId="113" xfId="0" applyFont="1" applyFill="1" applyBorder="1" applyAlignment="1">
      <alignment vertical="center"/>
    </xf>
    <xf numFmtId="0" fontId="7" fillId="17" borderId="113" xfId="2" applyNumberFormat="1" applyFont="1" applyFill="1" applyBorder="1" applyAlignment="1">
      <alignment horizontal="left" vertical="center"/>
    </xf>
    <xf numFmtId="172" fontId="15" fillId="0" borderId="113" xfId="1" applyNumberFormat="1" applyFont="1" applyFill="1" applyBorder="1" applyAlignment="1" applyProtection="1">
      <alignment horizontal="center" vertical="center"/>
    </xf>
    <xf numFmtId="172" fontId="42" fillId="12" borderId="113" xfId="1" applyNumberFormat="1" applyFont="1" applyFill="1" applyBorder="1" applyAlignment="1" applyProtection="1">
      <alignment horizontal="center" vertical="center"/>
    </xf>
    <xf numFmtId="172" fontId="15" fillId="6" borderId="113" xfId="1" applyNumberFormat="1" applyFont="1" applyFill="1" applyBorder="1" applyAlignment="1" applyProtection="1">
      <alignment horizontal="center" vertical="center"/>
    </xf>
    <xf numFmtId="172" fontId="15" fillId="15" borderId="113" xfId="1" applyNumberFormat="1" applyFont="1" applyFill="1" applyBorder="1" applyAlignment="1" applyProtection="1">
      <alignment horizontal="center" vertical="center"/>
    </xf>
    <xf numFmtId="172" fontId="42" fillId="14" borderId="113" xfId="1" applyNumberFormat="1" applyFont="1" applyFill="1" applyBorder="1" applyAlignment="1" applyProtection="1">
      <alignment horizontal="center" vertical="center"/>
    </xf>
    <xf numFmtId="172" fontId="15" fillId="13" borderId="114" xfId="1" applyNumberFormat="1" applyFont="1" applyFill="1" applyBorder="1" applyAlignment="1" applyProtection="1">
      <alignment horizontal="center" vertical="center"/>
    </xf>
    <xf numFmtId="0" fontId="59" fillId="17" borderId="0" xfId="0" applyFont="1" applyFill="1"/>
    <xf numFmtId="0" fontId="59" fillId="17" borderId="65" xfId="0" applyFont="1" applyFill="1" applyBorder="1" applyAlignment="1">
      <alignment horizontal="center"/>
    </xf>
    <xf numFmtId="0" fontId="59" fillId="17" borderId="96" xfId="0" applyFont="1" applyFill="1" applyBorder="1" applyAlignment="1">
      <alignment horizontal="center"/>
    </xf>
    <xf numFmtId="0" fontId="77" fillId="0" borderId="71" xfId="0" applyFont="1" applyBorder="1" applyAlignment="1">
      <alignment vertical="center" wrapText="1"/>
    </xf>
    <xf numFmtId="0" fontId="71" fillId="20" borderId="0" xfId="2" applyNumberFormat="1" applyFont="1" applyFill="1" applyAlignment="1">
      <alignment horizontal="left" vertical="center" wrapText="1"/>
    </xf>
    <xf numFmtId="0" fontId="71" fillId="20" borderId="69" xfId="2" applyNumberFormat="1" applyFont="1" applyFill="1" applyBorder="1" applyAlignment="1">
      <alignment horizontal="left" vertical="center" wrapText="1"/>
    </xf>
    <xf numFmtId="3" fontId="14" fillId="5" borderId="30" xfId="2" applyFont="1" applyFill="1" applyBorder="1" applyAlignment="1">
      <alignment horizontal="center" vertical="center"/>
    </xf>
    <xf numFmtId="3" fontId="14" fillId="5" borderId="115" xfId="2" applyFont="1" applyFill="1" applyBorder="1" applyAlignment="1">
      <alignment horizontal="center" vertical="center"/>
    </xf>
    <xf numFmtId="3" fontId="15" fillId="7" borderId="28" xfId="2" applyFont="1" applyFill="1" applyBorder="1" applyAlignment="1">
      <alignment horizontal="center" vertical="center"/>
    </xf>
    <xf numFmtId="3" fontId="18" fillId="17" borderId="0" xfId="2" applyFont="1" applyFill="1" applyAlignment="1">
      <alignment horizontal="right" vertical="center" indent="1"/>
    </xf>
    <xf numFmtId="3" fontId="14" fillId="5" borderId="116" xfId="2" applyFont="1" applyFill="1" applyBorder="1" applyAlignment="1">
      <alignment horizontal="center" vertical="center"/>
    </xf>
    <xf numFmtId="4" fontId="15" fillId="5" borderId="78" xfId="2" applyNumberFormat="1" applyFont="1" applyFill="1" applyBorder="1" applyAlignment="1" applyProtection="1">
      <alignment horizontal="right" vertical="center" indent="1"/>
      <protection locked="0"/>
    </xf>
    <xf numFmtId="0" fontId="71" fillId="20" borderId="0" xfId="2" applyNumberFormat="1" applyFont="1" applyFill="1" applyAlignment="1">
      <alignment horizontal="left" vertical="center" wrapText="1"/>
    </xf>
    <xf numFmtId="0" fontId="71" fillId="20" borderId="69" xfId="2" applyNumberFormat="1" applyFont="1" applyFill="1" applyBorder="1" applyAlignment="1">
      <alignment horizontal="left" vertical="center" wrapText="1"/>
    </xf>
    <xf numFmtId="0" fontId="74" fillId="20" borderId="71" xfId="2" applyNumberFormat="1" applyFont="1" applyFill="1" applyBorder="1" applyAlignment="1">
      <alignment horizontal="left" vertical="center" wrapText="1"/>
    </xf>
    <xf numFmtId="0" fontId="74" fillId="20" borderId="72" xfId="2" applyNumberFormat="1" applyFont="1" applyFill="1" applyBorder="1" applyAlignment="1">
      <alignment horizontal="left" vertical="center" wrapText="1"/>
    </xf>
    <xf numFmtId="0" fontId="69" fillId="17" borderId="64" xfId="0" applyFont="1" applyFill="1" applyBorder="1" applyAlignment="1">
      <alignment horizontal="center"/>
    </xf>
    <xf numFmtId="0" fontId="69" fillId="17" borderId="65" xfId="0" applyFont="1" applyFill="1" applyBorder="1" applyAlignment="1">
      <alignment horizontal="center"/>
    </xf>
    <xf numFmtId="0" fontId="69" fillId="17" borderId="66" xfId="0" applyFont="1" applyFill="1" applyBorder="1" applyAlignment="1">
      <alignment horizontal="center"/>
    </xf>
    <xf numFmtId="0" fontId="71" fillId="20" borderId="68" xfId="2" applyNumberFormat="1" applyFont="1" applyFill="1" applyBorder="1" applyAlignment="1">
      <alignment horizontal="left" vertical="center" wrapText="1"/>
    </xf>
    <xf numFmtId="3" fontId="48" fillId="17" borderId="11" xfId="2" applyFont="1" applyFill="1" applyBorder="1" applyAlignment="1">
      <alignment horizontal="left" vertical="center" wrapText="1"/>
    </xf>
    <xf numFmtId="3" fontId="48" fillId="17" borderId="3" xfId="2" applyFont="1" applyFill="1" applyBorder="1" applyAlignment="1">
      <alignment horizontal="left" vertical="center" wrapText="1"/>
    </xf>
    <xf numFmtId="168" fontId="48" fillId="18" borderId="40" xfId="1" applyNumberFormat="1" applyFont="1" applyFill="1" applyBorder="1" applyAlignment="1" applyProtection="1">
      <alignment horizontal="center" vertical="center"/>
      <protection locked="0"/>
    </xf>
    <xf numFmtId="3" fontId="54" fillId="17" borderId="11" xfId="2" applyFont="1" applyFill="1" applyBorder="1" applyAlignment="1">
      <alignment horizontal="left" vertical="center"/>
    </xf>
    <xf numFmtId="3" fontId="54" fillId="17" borderId="3" xfId="2" applyFont="1" applyFill="1" applyBorder="1" applyAlignment="1">
      <alignment horizontal="left" vertical="center"/>
    </xf>
    <xf numFmtId="3" fontId="48" fillId="18" borderId="40" xfId="2" applyFont="1" applyFill="1" applyBorder="1" applyAlignment="1">
      <alignment horizontal="center" vertical="center"/>
    </xf>
    <xf numFmtId="3" fontId="48" fillId="18" borderId="7" xfId="2" applyFont="1" applyFill="1" applyBorder="1" applyAlignment="1">
      <alignment horizontal="center" vertical="center"/>
    </xf>
    <xf numFmtId="3" fontId="47" fillId="0" borderId="0" xfId="2" applyFont="1" applyAlignment="1">
      <alignment horizontal="left" vertical="center" wrapText="1"/>
    </xf>
    <xf numFmtId="0" fontId="59" fillId="0" borderId="0" xfId="0" applyFont="1" applyAlignment="1">
      <alignment horizontal="center"/>
    </xf>
    <xf numFmtId="0" fontId="68" fillId="17" borderId="64" xfId="0" applyFont="1" applyFill="1" applyBorder="1" applyAlignment="1">
      <alignment horizontal="center" vertical="center" textRotation="90" wrapText="1"/>
    </xf>
    <xf numFmtId="0" fontId="68" fillId="17" borderId="67" xfId="0" applyFont="1" applyFill="1" applyBorder="1" applyAlignment="1">
      <alignment horizontal="center" vertical="center" textRotation="90"/>
    </xf>
    <xf numFmtId="0" fontId="68" fillId="17" borderId="70" xfId="0" applyFont="1" applyFill="1" applyBorder="1" applyAlignment="1">
      <alignment horizontal="center" vertical="center" textRotation="90"/>
    </xf>
    <xf numFmtId="0" fontId="77" fillId="22" borderId="71" xfId="0" applyFont="1" applyFill="1" applyBorder="1" applyAlignment="1">
      <alignment horizontal="left"/>
    </xf>
    <xf numFmtId="0" fontId="77" fillId="22" borderId="71" xfId="0" applyFont="1" applyFill="1" applyBorder="1" applyAlignment="1">
      <alignment horizontal="left" vertical="center" wrapText="1"/>
    </xf>
    <xf numFmtId="0" fontId="41" fillId="11" borderId="64" xfId="0" applyFont="1" applyFill="1" applyBorder="1" applyAlignment="1">
      <alignment horizontal="center" vertical="center"/>
    </xf>
    <xf numFmtId="0" fontId="41" fillId="11" borderId="67" xfId="0" applyFont="1" applyFill="1" applyBorder="1" applyAlignment="1">
      <alignment horizontal="center" vertical="center"/>
    </xf>
    <xf numFmtId="0" fontId="59" fillId="17" borderId="40" xfId="2" applyNumberFormat="1" applyFont="1" applyFill="1" applyBorder="1" applyAlignment="1">
      <alignment horizontal="left" vertical="center" wrapText="1"/>
    </xf>
    <xf numFmtId="0" fontId="68" fillId="17" borderId="108" xfId="0" applyFont="1" applyFill="1" applyBorder="1" applyAlignment="1">
      <alignment horizontal="center" vertical="center" textRotation="90"/>
    </xf>
    <xf numFmtId="0" fontId="68" fillId="17" borderId="109" xfId="0" applyFont="1" applyFill="1" applyBorder="1" applyAlignment="1">
      <alignment horizontal="center" vertical="center" textRotation="90"/>
    </xf>
    <xf numFmtId="0" fontId="68" fillId="17" borderId="110" xfId="0" applyFont="1" applyFill="1" applyBorder="1" applyAlignment="1">
      <alignment horizontal="center" vertical="center" textRotation="90"/>
    </xf>
    <xf numFmtId="0" fontId="47" fillId="17" borderId="61" xfId="2" applyNumberFormat="1" applyFont="1" applyFill="1" applyBorder="1" applyAlignment="1">
      <alignment horizontal="left" vertical="center" wrapText="1"/>
    </xf>
    <xf numFmtId="0" fontId="47" fillId="17" borderId="1" xfId="2" applyNumberFormat="1" applyFont="1" applyFill="1" applyBorder="1" applyAlignment="1">
      <alignment horizontal="left" vertical="center" wrapText="1"/>
    </xf>
    <xf numFmtId="0" fontId="47" fillId="17" borderId="7" xfId="2" applyNumberFormat="1" applyFont="1" applyFill="1" applyBorder="1" applyAlignment="1">
      <alignment horizontal="left" vertical="center" wrapText="1"/>
    </xf>
    <xf numFmtId="0" fontId="47" fillId="17" borderId="40" xfId="2" applyNumberFormat="1" applyFont="1" applyFill="1" applyBorder="1" applyAlignment="1">
      <alignment horizontal="left" vertical="center" wrapText="1"/>
    </xf>
    <xf numFmtId="0" fontId="35" fillId="17" borderId="40" xfId="2" applyNumberFormat="1" applyFont="1" applyFill="1" applyBorder="1" applyAlignment="1">
      <alignment horizontal="center" vertical="center"/>
    </xf>
    <xf numFmtId="0" fontId="59" fillId="17" borderId="40" xfId="2" applyNumberFormat="1" applyFont="1" applyFill="1" applyBorder="1" applyAlignment="1">
      <alignment horizontal="right" vertical="center" wrapText="1" indent="1"/>
    </xf>
    <xf numFmtId="3" fontId="14" fillId="5" borderId="40" xfId="2" applyFont="1" applyFill="1" applyBorder="1" applyAlignment="1">
      <alignment horizontal="center" vertical="center"/>
    </xf>
    <xf numFmtId="0" fontId="35" fillId="17" borderId="11" xfId="2" applyNumberFormat="1" applyFont="1" applyFill="1" applyBorder="1" applyAlignment="1">
      <alignment horizontal="center" vertical="center"/>
    </xf>
    <xf numFmtId="0" fontId="35" fillId="17" borderId="41" xfId="2" applyNumberFormat="1" applyFont="1" applyFill="1" applyBorder="1" applyAlignment="1">
      <alignment horizontal="center" vertical="center"/>
    </xf>
    <xf numFmtId="0" fontId="35" fillId="17" borderId="3" xfId="2" applyNumberFormat="1" applyFont="1" applyFill="1" applyBorder="1" applyAlignment="1">
      <alignment horizontal="center" vertical="center"/>
    </xf>
    <xf numFmtId="0" fontId="59" fillId="17" borderId="11" xfId="2" applyNumberFormat="1" applyFont="1" applyFill="1" applyBorder="1" applyAlignment="1">
      <alignment horizontal="center" vertical="center" wrapText="1"/>
    </xf>
    <xf numFmtId="0" fontId="59" fillId="17" borderId="41" xfId="2" applyNumberFormat="1" applyFont="1" applyFill="1" applyBorder="1" applyAlignment="1">
      <alignment horizontal="center" vertical="center" wrapText="1"/>
    </xf>
    <xf numFmtId="0" fontId="59" fillId="17" borderId="3" xfId="2" applyNumberFormat="1" applyFont="1" applyFill="1" applyBorder="1" applyAlignment="1">
      <alignment horizontal="center" vertical="center" wrapText="1"/>
    </xf>
    <xf numFmtId="0" fontId="59" fillId="6" borderId="40" xfId="0" applyFont="1" applyFill="1" applyBorder="1" applyAlignment="1">
      <alignment horizontal="center" vertical="center" wrapText="1"/>
    </xf>
    <xf numFmtId="0" fontId="59" fillId="6" borderId="40" xfId="0" applyFont="1" applyFill="1" applyBorder="1" applyAlignment="1">
      <alignment horizontal="center" vertical="center"/>
    </xf>
    <xf numFmtId="3" fontId="47" fillId="17" borderId="40" xfId="2" applyFont="1" applyFill="1" applyBorder="1" applyAlignment="1">
      <alignment horizontal="left" vertical="center"/>
    </xf>
    <xf numFmtId="3" fontId="47" fillId="17" borderId="40" xfId="2" applyFont="1" applyFill="1" applyBorder="1" applyAlignment="1">
      <alignment horizontal="left" vertical="center" wrapText="1"/>
    </xf>
    <xf numFmtId="0" fontId="59" fillId="17" borderId="40" xfId="2" applyNumberFormat="1" applyFont="1" applyFill="1" applyBorder="1" applyAlignment="1">
      <alignment horizontal="center" vertical="center" wrapText="1"/>
    </xf>
    <xf numFmtId="0" fontId="56" fillId="17" borderId="13" xfId="2" applyNumberFormat="1" applyFont="1" applyFill="1" applyBorder="1" applyAlignment="1">
      <alignment horizontal="center" vertical="center" wrapText="1"/>
    </xf>
    <xf numFmtId="0" fontId="56" fillId="17" borderId="59" xfId="2" applyNumberFormat="1" applyFont="1" applyFill="1" applyBorder="1" applyAlignment="1">
      <alignment horizontal="center" vertical="center" wrapText="1"/>
    </xf>
    <xf numFmtId="0" fontId="56" fillId="17" borderId="5" xfId="2" applyNumberFormat="1" applyFont="1" applyFill="1" applyBorder="1" applyAlignment="1">
      <alignment horizontal="center" vertical="center" wrapText="1"/>
    </xf>
    <xf numFmtId="0" fontId="56" fillId="17" borderId="14" xfId="2" applyNumberFormat="1" applyFont="1" applyFill="1" applyBorder="1" applyAlignment="1">
      <alignment horizontal="center" vertical="center" wrapText="1"/>
    </xf>
    <xf numFmtId="0" fontId="56" fillId="17" borderId="46" xfId="2" applyNumberFormat="1" applyFont="1" applyFill="1" applyBorder="1" applyAlignment="1">
      <alignment horizontal="center" vertical="center" wrapText="1"/>
    </xf>
    <xf numFmtId="0" fontId="56" fillId="17" borderId="4" xfId="2" applyNumberFormat="1" applyFont="1" applyFill="1" applyBorder="1" applyAlignment="1">
      <alignment horizontal="center" vertical="center" wrapText="1"/>
    </xf>
    <xf numFmtId="0" fontId="59" fillId="17" borderId="13" xfId="2" applyNumberFormat="1" applyFont="1" applyFill="1" applyBorder="1" applyAlignment="1">
      <alignment horizontal="left" vertical="center" wrapText="1"/>
    </xf>
    <xf numFmtId="0" fontId="59" fillId="17" borderId="15" xfId="2" applyNumberFormat="1" applyFont="1" applyFill="1" applyBorder="1" applyAlignment="1">
      <alignment horizontal="left" vertical="center" wrapText="1"/>
    </xf>
    <xf numFmtId="0" fontId="59" fillId="17" borderId="14" xfId="2" applyNumberFormat="1" applyFont="1" applyFill="1" applyBorder="1" applyAlignment="1">
      <alignment horizontal="left" vertical="center" wrapText="1"/>
    </xf>
    <xf numFmtId="0" fontId="7" fillId="17" borderId="61" xfId="2" applyNumberFormat="1" applyFont="1" applyFill="1" applyBorder="1" applyAlignment="1">
      <alignment horizontal="right" vertical="center" wrapText="1" indent="1"/>
    </xf>
    <xf numFmtId="0" fontId="7" fillId="17" borderId="1" xfId="2" applyNumberFormat="1" applyFont="1" applyFill="1" applyBorder="1" applyAlignment="1">
      <alignment horizontal="right" vertical="center" wrapText="1" indent="1"/>
    </xf>
    <xf numFmtId="0" fontId="7" fillId="17" borderId="7" xfId="2" applyNumberFormat="1" applyFont="1" applyFill="1" applyBorder="1" applyAlignment="1">
      <alignment horizontal="right" vertical="center" wrapText="1" indent="1"/>
    </xf>
    <xf numFmtId="0" fontId="35" fillId="17" borderId="13" xfId="2" applyNumberFormat="1" applyFont="1" applyFill="1" applyBorder="1" applyAlignment="1">
      <alignment horizontal="center" vertical="center"/>
    </xf>
    <xf numFmtId="0" fontId="35" fillId="17" borderId="59" xfId="2" applyNumberFormat="1" applyFont="1" applyFill="1" applyBorder="1" applyAlignment="1">
      <alignment horizontal="center" vertical="center"/>
    </xf>
    <xf numFmtId="0" fontId="35" fillId="17" borderId="5" xfId="2" applyNumberFormat="1" applyFont="1" applyFill="1" applyBorder="1" applyAlignment="1">
      <alignment horizontal="center" vertical="center"/>
    </xf>
    <xf numFmtId="0" fontId="7" fillId="17" borderId="11" xfId="2" applyNumberFormat="1" applyFont="1" applyFill="1" applyBorder="1" applyAlignment="1">
      <alignment horizontal="center" vertical="center" wrapText="1"/>
    </xf>
    <xf numFmtId="0" fontId="7" fillId="17" borderId="3" xfId="2" applyNumberFormat="1" applyFont="1" applyFill="1" applyBorder="1" applyAlignment="1">
      <alignment horizontal="center" vertical="center" wrapText="1"/>
    </xf>
    <xf numFmtId="0" fontId="4" fillId="0" borderId="18" xfId="2" applyNumberFormat="1" applyFont="1" applyBorder="1" applyAlignment="1">
      <alignment horizontal="center" vertical="center" wrapText="1"/>
    </xf>
    <xf numFmtId="0" fontId="4" fillId="0" borderId="6" xfId="2" applyNumberFormat="1" applyFont="1" applyBorder="1" applyAlignment="1">
      <alignment horizontal="center" vertical="center" wrapText="1"/>
    </xf>
    <xf numFmtId="0" fontId="6" fillId="0" borderId="11" xfId="0" applyFont="1" applyBorder="1" applyAlignment="1">
      <alignment horizontal="center"/>
    </xf>
    <xf numFmtId="0" fontId="6" fillId="0" borderId="3" xfId="0" applyFont="1" applyBorder="1" applyAlignment="1">
      <alignment horizontal="center"/>
    </xf>
    <xf numFmtId="0" fontId="16" fillId="0" borderId="46" xfId="0" applyFont="1" applyBorder="1" applyAlignment="1">
      <alignment horizontal="center"/>
    </xf>
    <xf numFmtId="0" fontId="16" fillId="0" borderId="0" xfId="0" applyFont="1" applyAlignment="1">
      <alignment horizontal="center"/>
    </xf>
  </cellXfs>
  <cellStyles count="63">
    <cellStyle name="AF Column - IBM Cognos" xfId="6" xr:uid="{C2C9C6CD-9DAF-4A21-891E-22A6CC29EA41}"/>
    <cellStyle name="AF Data - IBM Cognos" xfId="7" xr:uid="{E1EC760B-B8CA-4787-BE25-C0EF541DC97D}"/>
    <cellStyle name="AF Data 0 - IBM Cognos" xfId="8" xr:uid="{805578AE-A5FD-4CD6-8499-F34D381BBADD}"/>
    <cellStyle name="AF Data 1 - IBM Cognos" xfId="9" xr:uid="{BDE3FE75-A0F4-47F7-9DAE-17762371E203}"/>
    <cellStyle name="AF Data 2 - IBM Cognos" xfId="10" xr:uid="{6998B673-C244-4F44-82FE-B12080255D61}"/>
    <cellStyle name="AF Data 3 - IBM Cognos" xfId="11" xr:uid="{3B0C51E5-64D0-466E-8664-197C94525A7C}"/>
    <cellStyle name="AF Data 4 - IBM Cognos" xfId="12" xr:uid="{80D39076-1A8E-4CF5-82ED-F4FA6325367B}"/>
    <cellStyle name="AF Data 5 - IBM Cognos" xfId="13" xr:uid="{8EE668FA-2AD0-4CE8-99BA-1B4B26986089}"/>
    <cellStyle name="AF Data Leaf - IBM Cognos" xfId="14" xr:uid="{8C9F6002-CD9D-4339-82AB-B57537F5E14D}"/>
    <cellStyle name="AF Header - IBM Cognos" xfId="15" xr:uid="{9F876725-3CA0-4AD2-8CF5-CDB9B9C56E7B}"/>
    <cellStyle name="AF Header 0 - IBM Cognos" xfId="16" xr:uid="{2FA91499-AE58-4AE2-8EAD-8639B9C3ED84}"/>
    <cellStyle name="AF Header 1 - IBM Cognos" xfId="17" xr:uid="{B408BC7A-BD3D-4A50-BD16-AF09CC007F2E}"/>
    <cellStyle name="AF Header 2 - IBM Cognos" xfId="18" xr:uid="{C97126E1-D56F-4A3D-B183-A2ADE33F4DCF}"/>
    <cellStyle name="AF Header 3 - IBM Cognos" xfId="19" xr:uid="{1371638C-5483-4FD8-9F87-C41D7205EDA1}"/>
    <cellStyle name="AF Header 4 - IBM Cognos" xfId="20" xr:uid="{17B8D4FA-48D6-45E4-828E-01BA154D4515}"/>
    <cellStyle name="AF Header 5 - IBM Cognos" xfId="21" xr:uid="{805F15B8-2FE6-42C4-9B7C-58C2F0C4B4BE}"/>
    <cellStyle name="AF Header Leaf - IBM Cognos" xfId="22" xr:uid="{C1BA213C-4E6C-4FFF-8629-93FCE2F36A6F}"/>
    <cellStyle name="AF Row - IBM Cognos" xfId="23" xr:uid="{3B1CC2BB-7942-413F-87DE-155E5521E660}"/>
    <cellStyle name="AF Row 0 - IBM Cognos" xfId="24" xr:uid="{61352336-2D2F-4F20-A619-7DBD5D1A8FE4}"/>
    <cellStyle name="AF Row 1 - IBM Cognos" xfId="25" xr:uid="{BB9C87CF-D403-4B33-9F09-75B8BADB3433}"/>
    <cellStyle name="AF Row 2 - IBM Cognos" xfId="26" xr:uid="{FA309BF2-5FEB-4BFD-87D2-DC6BF7E5FCDA}"/>
    <cellStyle name="AF Row 3 - IBM Cognos" xfId="27" xr:uid="{5E1E16C7-82F7-4CA0-96AD-25FBBCB719C2}"/>
    <cellStyle name="AF Row 4 - IBM Cognos" xfId="28" xr:uid="{B7D73E00-C2B5-421E-8C4D-8C3B67FF03CD}"/>
    <cellStyle name="AF Row 5 - IBM Cognos" xfId="29" xr:uid="{49D4AC39-C776-421E-AB73-8465A66C3BB3}"/>
    <cellStyle name="AF Row Leaf - IBM Cognos" xfId="30" xr:uid="{34A1A177-9AD1-40EA-8485-1C91CEBA1BFA}"/>
    <cellStyle name="AF Subnm - IBM Cognos" xfId="31" xr:uid="{DF86F26E-F4C2-46EC-ABFD-F906D803C55E}"/>
    <cellStyle name="AF Title - IBM Cognos" xfId="32" xr:uid="{F91B131A-6C58-4281-BC24-E92C15967DAE}"/>
    <cellStyle name="Bad" xfId="62" builtinId="27"/>
    <cellStyle name="Calculated Column - IBM Cognos" xfId="33" xr:uid="{DBD429B2-6051-4E2F-AAB7-11DE68D9C794}"/>
    <cellStyle name="Calculated Column Name - IBM Cognos" xfId="34" xr:uid="{F20F8938-BAB8-447F-8A0C-8A5BFF23C963}"/>
    <cellStyle name="Calculated Row - IBM Cognos" xfId="35" xr:uid="{9824303E-116B-489D-A757-40051DCD95A9}"/>
    <cellStyle name="Calculated Row Name - IBM Cognos" xfId="36" xr:uid="{33C2A0BF-B6EC-4ED1-9AF7-DE72EA8E7718}"/>
    <cellStyle name="Column Name - IBM Cognos" xfId="37" xr:uid="{A0895EDE-C319-4892-B79A-F0934C4FA5CD}"/>
    <cellStyle name="Column Template - IBM Cognos" xfId="38" xr:uid="{79B6BABD-0BB5-4EB3-BF11-45F3E7C92714}"/>
    <cellStyle name="Comma" xfId="1" builtinId="3"/>
    <cellStyle name="Comma 2" xfId="3" xr:uid="{00000000-0005-0000-0000-000001000000}"/>
    <cellStyle name="Comma 3" xfId="5" xr:uid="{00000000-0005-0000-0000-000002000000}"/>
    <cellStyle name="Differs From Base - IBM Cognos" xfId="39" xr:uid="{299B535D-CD5B-4F04-A1D3-620F6BE88F7D}"/>
    <cellStyle name="Edit - IBM Cognos" xfId="40" xr:uid="{1A0B30A1-C429-4F40-BF78-31079B8DA719}"/>
    <cellStyle name="Formula - IBM Cognos" xfId="41" xr:uid="{50C97D85-AAA1-4943-B8AB-1DA435B4F1A4}"/>
    <cellStyle name="Group Name - IBM Cognos" xfId="42" xr:uid="{1CEB485C-E693-433A-9C79-06EF13426957}"/>
    <cellStyle name="Hold Values - IBM Cognos" xfId="43" xr:uid="{702D304B-B404-4D11-9CE0-62E30CFA7908}"/>
    <cellStyle name="Hyperlink" xfId="61" builtinId="8"/>
    <cellStyle name="List Name - IBM Cognos" xfId="44" xr:uid="{561924C3-0D30-4339-AB57-CEE92D278AB1}"/>
    <cellStyle name="Locked - IBM Cognos" xfId="45" xr:uid="{17BEAD55-D6A0-4616-B5FE-D2E0CB0B7B39}"/>
    <cellStyle name="Measure - IBM Cognos" xfId="46" xr:uid="{74C3965F-4401-4123-9B01-0D64D6FB62D5}"/>
    <cellStyle name="Measure Header - IBM Cognos" xfId="47" xr:uid="{F36BA4A6-9002-4D1D-A276-F63327507A72}"/>
    <cellStyle name="Measure Name - IBM Cognos" xfId="48" xr:uid="{C0625A5B-373A-4497-A383-3BE39C752B07}"/>
    <cellStyle name="Measure Summary - IBM Cognos" xfId="49" xr:uid="{815001FA-9966-4696-B1FA-2765DE018DEB}"/>
    <cellStyle name="Measure Summary TM1 - IBM Cognos" xfId="50" xr:uid="{1FFDB546-31A5-4F71-9EA9-810FC721AC3C}"/>
    <cellStyle name="Measure Template - IBM Cognos" xfId="51" xr:uid="{04DFA4E4-D40F-4156-9CDA-F2C3844A56FA}"/>
    <cellStyle name="More - IBM Cognos" xfId="52" xr:uid="{FB54CFB8-B4B3-4AAA-B6C2-DEB15186182F}"/>
    <cellStyle name="Normal" xfId="0" builtinId="0" customBuiltin="1"/>
    <cellStyle name="Normal 2" xfId="2" xr:uid="{00000000-0005-0000-0000-000004000000}"/>
    <cellStyle name="Normal 3" xfId="4" xr:uid="{00000000-0005-0000-0000-000005000000}"/>
    <cellStyle name="Pending Change - IBM Cognos" xfId="53" xr:uid="{E350513D-6DB2-4820-8C4C-BD382916994C}"/>
    <cellStyle name="Row Name - IBM Cognos" xfId="54" xr:uid="{527399BA-C3F8-46A6-AE6F-F26E59873420}"/>
    <cellStyle name="Row Template - IBM Cognos" xfId="55" xr:uid="{0301E735-EB99-4ED1-A074-6806ED9062C1}"/>
    <cellStyle name="Summary Column Name - IBM Cognos" xfId="56" xr:uid="{6425B270-A43B-4DDF-BCD0-F086F320C33F}"/>
    <cellStyle name="Summary Column Name TM1 - IBM Cognos" xfId="57" xr:uid="{DCE31783-0631-4C35-94F6-2298EA167E1A}"/>
    <cellStyle name="Summary Row Name - IBM Cognos" xfId="58" xr:uid="{1B41154A-4304-4DB6-8F7A-3B950392834C}"/>
    <cellStyle name="Summary Row Name TM1 - IBM Cognos" xfId="59" xr:uid="{7BB4AB16-135E-4FA7-B9F9-D93DD318F874}"/>
    <cellStyle name="Unsaved Change - IBM Cognos" xfId="60" xr:uid="{BA0B334C-7525-4F3D-9C93-C7A2CB41EAAF}"/>
  </cellStyles>
  <dxfs count="19">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2" defaultPivotStyle="PivotStyleLight16"/>
  <colors>
    <mruColors>
      <color rgb="FFFFFFCC"/>
      <color rgb="FFEDEDED"/>
      <color rgb="FFE7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67732</xdr:colOff>
      <xdr:row>15</xdr:row>
      <xdr:rowOff>76200</xdr:rowOff>
    </xdr:from>
    <xdr:to>
      <xdr:col>10</xdr:col>
      <xdr:colOff>211666</xdr:colOff>
      <xdr:row>39</xdr:row>
      <xdr:rowOff>115741</xdr:rowOff>
    </xdr:to>
    <xdr:pic>
      <xdr:nvPicPr>
        <xdr:cNvPr id="2" name="Picture 1">
          <a:extLst>
            <a:ext uri="{FF2B5EF4-FFF2-40B4-BE49-F238E27FC236}">
              <a16:creationId xmlns:a16="http://schemas.microsoft.com/office/drawing/2014/main" id="{226C3BE2-04DB-5473-37B3-0DC888C86767}"/>
            </a:ext>
          </a:extLst>
        </xdr:cNvPr>
        <xdr:cNvPicPr>
          <a:picLocks noChangeAspect="1"/>
        </xdr:cNvPicPr>
      </xdr:nvPicPr>
      <xdr:blipFill>
        <a:blip xmlns:r="http://schemas.openxmlformats.org/officeDocument/2006/relationships" r:embed="rId1"/>
        <a:stretch>
          <a:fillRect/>
        </a:stretch>
      </xdr:blipFill>
      <xdr:spPr>
        <a:xfrm>
          <a:off x="67732" y="6646333"/>
          <a:ext cx="11743267" cy="472160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anjeev Kumar Kanchan" id="{21CF7CD2-143E-8943-9135-09CB7651D27D}" userId="S::sanjeev@iforest.global::aa3dfabf-90cb-42f5-9516-bf92c5052de1" providerId="AD"/>
</personList>
</file>

<file path=xl/theme/theme1.xml><?xml version="1.0" encoding="utf-8"?>
<a:theme xmlns:a="http://schemas.openxmlformats.org/drawingml/2006/main" name="Worldsteel Theme">
  <a:themeElements>
    <a:clrScheme name="Custom 6">
      <a:dk1>
        <a:sysClr val="windowText" lastClr="000000"/>
      </a:dk1>
      <a:lt1>
        <a:srgbClr val="FFFFFF"/>
      </a:lt1>
      <a:dk2>
        <a:srgbClr val="5C7F92"/>
      </a:dk2>
      <a:lt2>
        <a:srgbClr val="CCD6DD"/>
      </a:lt2>
      <a:accent1>
        <a:srgbClr val="F3C000"/>
      </a:accent1>
      <a:accent2>
        <a:srgbClr val="FF6905"/>
      </a:accent2>
      <a:accent3>
        <a:srgbClr val="D0202E"/>
      </a:accent3>
      <a:accent4>
        <a:srgbClr val="831C80"/>
      </a:accent4>
      <a:accent5>
        <a:srgbClr val="00AAE7"/>
      </a:accent5>
      <a:accent6>
        <a:srgbClr val="76A519"/>
      </a:accent6>
      <a:hlink>
        <a:srgbClr val="000000"/>
      </a:hlink>
      <a:folHlink>
        <a:srgbClr val="00AAE7"/>
      </a:folHlink>
    </a:clrScheme>
    <a:fontScheme name="worldsteel">
      <a:majorFont>
        <a:latin typeface="Open Sans"/>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Worldsteel Theme" id="{0440BB88-098E-4757-B743-21C29C0A31E8}" vid="{2F58CDC3-9DF3-4978-B950-FDB75F20823E}"/>
    </a:ext>
  </a:extLst>
</a:theme>
</file>

<file path=xl/threadedComments/threadedComment1.xml><?xml version="1.0" encoding="utf-8"?>
<ThreadedComments xmlns="http://schemas.microsoft.com/office/spreadsheetml/2018/threadedcomments" xmlns:x="http://schemas.openxmlformats.org/spreadsheetml/2006/main">
  <threadedComment ref="I118" dT="2025-10-28T04:57:36.54" personId="{21CF7CD2-143E-8943-9135-09CB7651D27D}" id="{6CF07077-DD67-E243-B721-57013FD4F5EE}">
    <text>Use India-specific Emission Factor</text>
  </threadedComment>
  <threadedComment ref="J118" dT="2025-10-28T04:57:36.54" personId="{21CF7CD2-143E-8943-9135-09CB7651D27D}" id="{F1CE9B17-BD66-A642-ABD9-19455CA6FA81}">
    <text>Use India-specific Emission Factor</text>
  </threadedComment>
  <threadedComment ref="K118" dT="2025-10-28T04:57:36.54" personId="{21CF7CD2-143E-8943-9135-09CB7651D27D}" id="{CDE89E3A-81E0-354A-A040-A6F0D70ED227}">
    <text>Use India-specific Emission Factor</text>
  </threadedComment>
  <threadedComment ref="N118" dT="2025-10-28T04:57:36.54" personId="{21CF7CD2-143E-8943-9135-09CB7651D27D}" id="{89FFDD49-293C-3843-81A6-49598AEE1B28}">
    <text>Use India-specific Emission Factor</text>
  </threadedComment>
  <threadedComment ref="I123" dT="2025-10-28T04:57:36.54" personId="{21CF7CD2-143E-8943-9135-09CB7651D27D}" id="{F136591F-6315-A742-9EA1-8C37ECAD038D}">
    <text>Use India-specific Emission Factor</text>
  </threadedComment>
  <threadedComment ref="J123" dT="2025-10-28T04:57:36.54" personId="{21CF7CD2-143E-8943-9135-09CB7651D27D}" id="{D53697F6-57EB-D144-B6BD-82364DB0E58E}">
    <text>Use India-specific Emission Factor</text>
  </threadedComment>
  <threadedComment ref="K123" dT="2025-10-28T04:57:36.54" personId="{21CF7CD2-143E-8943-9135-09CB7651D27D}" id="{3DB24C44-3DAE-EA4C-8CA6-DA3C4E5F1F9E}">
    <text>Use India-specific Emission Factor</text>
  </threadedComment>
  <threadedComment ref="N123" dT="2025-10-28T04:57:36.54" personId="{21CF7CD2-143E-8943-9135-09CB7651D27D}" id="{587A8B05-32E1-2D4A-A8A4-DED9A52512E7}">
    <text>Use India-specific Emission Factor</text>
  </threadedComment>
  <threadedComment ref="I124" dT="2025-10-28T04:57:36.54" personId="{21CF7CD2-143E-8943-9135-09CB7651D27D}" id="{0EF70C6C-D34F-D445-820A-49C3AC22F33E}">
    <text>Use India-specific Emission Factor</text>
  </threadedComment>
  <threadedComment ref="J124" dT="2025-10-28T04:57:36.54" personId="{21CF7CD2-143E-8943-9135-09CB7651D27D}" id="{FE7D38F4-8FAF-BF48-AE7F-F13DD3E7A2E5}">
    <text>Use India-specific Emission Factor</text>
  </threadedComment>
  <threadedComment ref="K124" dT="2025-10-28T04:57:36.54" personId="{21CF7CD2-143E-8943-9135-09CB7651D27D}" id="{836636E3-9E65-3F4C-885B-28B896B55229}">
    <text>Use India-specific Emission Factor</text>
  </threadedComment>
  <threadedComment ref="N124" dT="2025-10-28T04:57:36.54" personId="{21CF7CD2-143E-8943-9135-09CB7651D27D}" id="{D133DF3D-8320-F546-88A0-53572098A151}">
    <text>Use India-specific Emission Factor</text>
  </threadedComment>
  <threadedComment ref="I125" dT="2025-10-28T04:57:36.54" personId="{21CF7CD2-143E-8943-9135-09CB7651D27D}" id="{D483210D-B413-0B46-9D8A-D27A178DE486}">
    <text>Use India-specific Emission Factor</text>
  </threadedComment>
  <threadedComment ref="J125" dT="2025-10-28T04:57:36.54" personId="{21CF7CD2-143E-8943-9135-09CB7651D27D}" id="{BC2E2683-874A-5E4E-A90D-B21E70A27859}">
    <text>Use India-specific Emission Factor</text>
  </threadedComment>
  <threadedComment ref="K125" dT="2025-10-28T04:57:36.54" personId="{21CF7CD2-143E-8943-9135-09CB7651D27D}" id="{807005AC-922B-D341-9129-3A42FD6C0843}">
    <text>Use India-specific Emission Factor</text>
  </threadedComment>
  <threadedComment ref="N125" dT="2025-10-28T04:57:36.54" personId="{21CF7CD2-143E-8943-9135-09CB7651D27D}" id="{C9226F0D-CBBF-CE48-A4DC-55BEDF4BE4D5}">
    <text>Use India-specific Emission Factor</text>
  </threadedComment>
  <threadedComment ref="I126" dT="2025-10-28T04:57:36.54" personId="{21CF7CD2-143E-8943-9135-09CB7651D27D}" id="{A21667A3-0198-2343-AA39-9A2CC58C1448}">
    <text>Use India-specific Emission Factor</text>
  </threadedComment>
  <threadedComment ref="J126" dT="2025-10-28T04:57:36.54" personId="{21CF7CD2-143E-8943-9135-09CB7651D27D}" id="{954AA1DD-60AD-8A47-BD2D-6CEE59C8259C}">
    <text>Use India-specific Emission Factor</text>
  </threadedComment>
  <threadedComment ref="K126" dT="2025-10-28T04:57:36.54" personId="{21CF7CD2-143E-8943-9135-09CB7651D27D}" id="{F3E6F08C-DD17-BE41-9B06-025B5551803C}">
    <text>Use India-specific Emission Factor</text>
  </threadedComment>
  <threadedComment ref="N126" dT="2025-10-28T04:57:36.54" personId="{21CF7CD2-143E-8943-9135-09CB7651D27D}" id="{30F67D72-B9EA-1F44-9363-210C577B4769}">
    <text>Use India-specific Emission Factor</text>
  </threadedComment>
  <threadedComment ref="I127" dT="2025-10-28T04:57:36.54" personId="{21CF7CD2-143E-8943-9135-09CB7651D27D}" id="{54BAC60C-E01C-E041-A85C-88D5A375A257}">
    <text>Use India-specific Emission Factor</text>
  </threadedComment>
  <threadedComment ref="J127" dT="2025-10-28T04:59:11.00" personId="{21CF7CD2-143E-8943-9135-09CB7651D27D}" id="{7D7D9F9C-68B7-8D4B-AB7E-47EE0FAA3B01}">
    <text>Use appropriate C content for scrap</text>
  </threadedComment>
  <threadedComment ref="K127" dT="2025-10-28T04:57:36.54" personId="{21CF7CD2-143E-8943-9135-09CB7651D27D}" id="{90F994C9-0083-7742-BCDF-886F33AE3316}">
    <text>Use India-specific Emission Factor</text>
  </threadedComment>
  <threadedComment ref="N127" dT="2025-10-28T04:57:36.54" personId="{21CF7CD2-143E-8943-9135-09CB7651D27D}" id="{10F75AD2-17A8-254B-80C0-0962F1B3FDDC}">
    <text>Use India-specific Emission Factor</text>
  </threadedComment>
  <threadedComment ref="I128" dT="2025-10-28T04:57:36.54" personId="{21CF7CD2-143E-8943-9135-09CB7651D27D}" id="{1A040142-86D9-BB48-914B-92BB46FD2158}">
    <text>Use India-specific Emission Factor</text>
  </threadedComment>
  <threadedComment ref="J128" dT="2025-10-28T04:59:11.00" personId="{21CF7CD2-143E-8943-9135-09CB7651D27D}" id="{513A21E7-BBFF-C044-B91D-59584ECB2AAF}">
    <text>Use appropriate C content for scrap</text>
  </threadedComment>
  <threadedComment ref="K128" dT="2025-10-28T04:57:36.54" personId="{21CF7CD2-143E-8943-9135-09CB7651D27D}" id="{A54C7002-03F1-B743-ADE9-F7981F3E40A2}">
    <text>Use India-specific Emission Factor</text>
  </threadedComment>
  <threadedComment ref="N128" dT="2025-10-28T04:57:36.54" personId="{21CF7CD2-143E-8943-9135-09CB7651D27D}" id="{A8C82134-DA24-7848-AF94-4C766D1D83E3}">
    <text>Use India-specific Emission Factor</text>
  </threadedComment>
  <threadedComment ref="I129" dT="2025-10-28T04:57:36.54" personId="{21CF7CD2-143E-8943-9135-09CB7651D27D}" id="{47352C73-DC3F-2645-A671-6098684A8CFB}">
    <text>Use India-specific Emission Factor</text>
  </threadedComment>
  <threadedComment ref="J129" dT="2025-10-28T04:59:11.00" personId="{21CF7CD2-143E-8943-9135-09CB7651D27D}" id="{274A3389-04CA-E147-B317-4449B34D6397}">
    <text>Use appropriate C content for scrap</text>
  </threadedComment>
  <threadedComment ref="K129" dT="2025-10-28T04:57:36.54" personId="{21CF7CD2-143E-8943-9135-09CB7651D27D}" id="{B82EF3AB-25FF-4542-8D3A-9F9871621920}">
    <text>Use India-specific Emission Factor</text>
  </threadedComment>
  <threadedComment ref="N129" dT="2025-10-28T04:57:36.54" personId="{21CF7CD2-143E-8943-9135-09CB7651D27D}" id="{94353E60-933A-5B41-8010-91F4DA11C4D8}">
    <text>Use India-specific Emission Factor</text>
  </threadedComment>
  <threadedComment ref="U153" dT="2025-08-13T10:35:52.68" personId="{21CF7CD2-143E-8943-9135-09CB7651D27D}" id="{07B0F5F3-A6DD-EF41-A747-D6B8E79DA7C1}">
    <text>Link- the applicable CO2 /MWh from table 3 or enter the Specific Factor</text>
  </threadedComment>
</ThreadedComments>
</file>

<file path=xl/threadedComments/threadedComment2.xml><?xml version="1.0" encoding="utf-8"?>
<ThreadedComments xmlns="http://schemas.microsoft.com/office/spreadsheetml/2018/threadedcomments" xmlns:x="http://schemas.openxmlformats.org/spreadsheetml/2006/main">
  <threadedComment ref="J128" dT="2025-10-28T04:59:11.00" personId="{21CF7CD2-143E-8943-9135-09CB7651D27D}" id="{8F5814CE-AE98-3B40-B535-43CE73C140BE}">
    <text>Use appropriate C content for scrap</text>
  </threadedComment>
  <threadedComment ref="N128" dT="2025-10-28T04:57:36.54" personId="{21CF7CD2-143E-8943-9135-09CB7651D27D}" id="{7DFEE7DD-929D-434F-AB1B-6CF94E09C942}">
    <text>Use the appropriate factor for Steel Scrap</text>
  </threadedComment>
  <threadedComment ref="J129" dT="2025-10-28T04:59:33.12" personId="{21CF7CD2-143E-8943-9135-09CB7651D27D}" id="{BF6726E7-CB7F-804A-82AA-A765941B502A}">
    <text>Use appropriate C content obtained from Supplier.</text>
  </threadedComment>
  <threadedComment ref="N129" dT="2025-10-28T04:58:20.80" personId="{21CF7CD2-143E-8943-9135-09CB7651D27D}" id="{6D5DA11C-1971-674E-86A3-8C3A535DC25F}">
    <text>Use appropriate factor for Purchased crude steel  or obtained from supplier</text>
  </threadedComment>
  <threadedComment ref="J130" dT="2025-10-28T04:59:33.12" personId="{21CF7CD2-143E-8943-9135-09CB7651D27D}" id="{C7D05998-196F-0942-BE14-046A283D0E07}">
    <text>Use appropriate C content obtained from Supplier.</text>
  </threadedComment>
  <threadedComment ref="N130" dT="2025-10-28T04:58:20.80" personId="{21CF7CD2-143E-8943-9135-09CB7651D27D}" id="{3625C6F8-D7DD-EE45-96BB-08F572EB1234}">
    <text>Use appropriate factor for Purchased crude steel  or obtained from supplier</text>
  </threadedComment>
  <threadedComment ref="J131" dT="2025-10-28T04:59:33.12" personId="{21CF7CD2-143E-8943-9135-09CB7651D27D}" id="{9F6C2A48-8575-5E4F-A137-8031E68236AC}">
    <text>Use appropriate C content obtained from Supplier.</text>
  </threadedComment>
  <threadedComment ref="N131" dT="2025-10-28T04:58:20.80" personId="{21CF7CD2-143E-8943-9135-09CB7651D27D}" id="{08E4B82E-BF1F-8D40-B380-E4EDCB4BB053}">
    <text>Use appropriate factor for Purchased crude steel  or obtained from supplier</text>
  </threadedComment>
  <threadedComment ref="U155" dT="2025-08-13T10:35:52.68" personId="{21CF7CD2-143E-8943-9135-09CB7651D27D}" id="{A2CAA3F1-68F1-484B-A557-01CBA44BF07B}">
    <text>Link- the applicable CO2 /MWh from table 3 or enter the value</text>
  </threadedComment>
</ThreadedComments>
</file>

<file path=xl/threadedComments/threadedComment3.xml><?xml version="1.0" encoding="utf-8"?>
<ThreadedComments xmlns="http://schemas.microsoft.com/office/spreadsheetml/2018/threadedcomments" xmlns:x="http://schemas.openxmlformats.org/spreadsheetml/2006/main">
  <threadedComment ref="J128" dT="2025-10-28T04:59:11.00" personId="{21CF7CD2-143E-8943-9135-09CB7651D27D}" id="{AE5AB1BB-428C-7242-8ADD-01C0FA1C76A8}">
    <text>Use appropriate C content for scrap</text>
  </threadedComment>
  <threadedComment ref="N128" dT="2025-10-28T04:57:36.54" personId="{21CF7CD2-143E-8943-9135-09CB7651D27D}" id="{AA881C2E-7E73-B040-A3EC-4107F4A26478}">
    <text>Use the appropriate factor for Steel Scrap</text>
  </threadedComment>
  <threadedComment ref="J129" dT="2025-10-28T04:59:33.12" personId="{21CF7CD2-143E-8943-9135-09CB7651D27D}" id="{3E0C4D22-EB6C-CD4F-A93C-5DBADF707995}">
    <text>Use appropriate C content obtained from Supplier.</text>
  </threadedComment>
  <threadedComment ref="N129" dT="2025-10-28T04:58:20.80" personId="{21CF7CD2-143E-8943-9135-09CB7651D27D}" id="{E8FB1E36-B06D-2942-8871-46C02FA4EB35}">
    <text>Use appropriate factor for Purchased crude steel  or obtained from supplier</text>
  </threadedComment>
  <threadedComment ref="J130" dT="2025-10-28T04:59:33.12" personId="{21CF7CD2-143E-8943-9135-09CB7651D27D}" id="{B1A10A53-4904-EB4C-8842-093B132FA42B}">
    <text>Use appropriate C content obtained from Supplier.</text>
  </threadedComment>
  <threadedComment ref="N130" dT="2025-10-28T04:58:20.80" personId="{21CF7CD2-143E-8943-9135-09CB7651D27D}" id="{E909FDC0-F025-E346-8525-70DFFB9BDE67}">
    <text>Use appropriate factor for Purchased crude steel  or obtained from supplier</text>
  </threadedComment>
  <threadedComment ref="J131" dT="2025-10-28T04:59:33.12" personId="{21CF7CD2-143E-8943-9135-09CB7651D27D}" id="{AD14A095-4A04-3941-9076-B87A2E26B08A}">
    <text>Use appropriate C content obtained from Supplier.</text>
  </threadedComment>
  <threadedComment ref="N131" dT="2025-10-28T04:58:20.80" personId="{21CF7CD2-143E-8943-9135-09CB7651D27D}" id="{CD9FAF59-B09C-D547-A10B-C0118C7A46B1}">
    <text>Use appropriate factor for Purchased crude steel  or obtained from supplier</text>
  </threadedComment>
  <threadedComment ref="U155" dT="2025-08-13T10:35:52.68" personId="{21CF7CD2-143E-8943-9135-09CB7651D27D}" id="{A1D45312-BA82-984E-9715-48367DCFAC5F}">
    <text>Link- the applicable CO2 /MWh from table 3 or enter the value</text>
  </threadedComment>
</ThreadedComments>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7.xml.rels><?xml version="1.0" encoding="UTF-8" standalone="yes"?>
<Relationships xmlns="http://schemas.openxmlformats.org/package/2006/relationships"><Relationship Id="rId3" Type="http://schemas.openxmlformats.org/officeDocument/2006/relationships/hyperlink" Target="https://doi.org/10.1016/j.scitotenv.2024.174862" TargetMode="External"/><Relationship Id="rId2" Type="http://schemas.openxmlformats.org/officeDocument/2006/relationships/hyperlink" Target="https://doi.org/10.1016/j.jclepro.2012.08.010" TargetMode="External"/><Relationship Id="rId1" Type="http://schemas.openxmlformats.org/officeDocument/2006/relationships/hyperlink" Target="https://doi.org/10.1016/j.apenergy.2015.03.009" TargetMode="External"/><Relationship Id="rId6" Type="http://schemas.openxmlformats.org/officeDocument/2006/relationships/hyperlink" Target="http://dx.doi.org/10.1504/IJGW.2020.111518" TargetMode="External"/><Relationship Id="rId5" Type="http://schemas.openxmlformats.org/officeDocument/2006/relationships/hyperlink" Target="http://dx.doi.org/10.1504/IJGW.2020.111518" TargetMode="External"/><Relationship Id="rId4" Type="http://schemas.openxmlformats.org/officeDocument/2006/relationships/hyperlink" Target="https://doi.org/10.1016/j.jclepro.2022.131327"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9E71A-1EE1-462E-A1B6-CDAB4186134D}">
  <sheetPr codeName="Sheet1"/>
  <dimension ref="A1"/>
  <sheetViews>
    <sheetView workbookViewId="0"/>
  </sheetViews>
  <sheetFormatPr baseColWidth="10" defaultColWidth="8.83203125" defaultRowHeight="15" x14ac:dyDescent="0.2"/>
  <sheetData/>
  <pageMargins left="0.7" right="0.7" top="0.75" bottom="0.75" header="0.3" footer="0.3"/>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D148-EC58-754E-B755-6BFB88F9E23E}">
  <sheetPr>
    <tabColor rgb="FFFFFF00"/>
  </sheetPr>
  <dimension ref="A1:L20"/>
  <sheetViews>
    <sheetView topLeftCell="A17" zoomScale="150" workbookViewId="0">
      <selection activeCell="B15" sqref="B15:L15"/>
    </sheetView>
  </sheetViews>
  <sheetFormatPr baseColWidth="10" defaultRowHeight="15" x14ac:dyDescent="0.2"/>
  <cols>
    <col min="1" max="12" width="15.1640625" customWidth="1"/>
  </cols>
  <sheetData>
    <row r="1" spans="1:12" s="334" customFormat="1" ht="25" customHeight="1" x14ac:dyDescent="0.25">
      <c r="A1" s="392" t="s">
        <v>274</v>
      </c>
      <c r="B1" s="393"/>
      <c r="C1" s="393"/>
      <c r="D1" s="393"/>
      <c r="E1" s="393"/>
      <c r="F1" s="393"/>
      <c r="G1" s="393"/>
      <c r="H1" s="393"/>
      <c r="I1" s="393"/>
      <c r="J1" s="393"/>
      <c r="K1" s="393"/>
      <c r="L1" s="394"/>
    </row>
    <row r="2" spans="1:12" s="334" customFormat="1" ht="39" customHeight="1" x14ac:dyDescent="0.25">
      <c r="A2" s="335">
        <v>1</v>
      </c>
      <c r="B2" s="395" t="s">
        <v>333</v>
      </c>
      <c r="C2" s="395"/>
      <c r="D2" s="395"/>
      <c r="E2" s="395"/>
      <c r="F2" s="395"/>
      <c r="G2" s="395"/>
      <c r="H2" s="395"/>
      <c r="I2" s="395"/>
      <c r="J2" s="395"/>
      <c r="K2" s="395"/>
      <c r="L2" s="389"/>
    </row>
    <row r="3" spans="1:12" s="334" customFormat="1" ht="39" customHeight="1" x14ac:dyDescent="0.25">
      <c r="A3" s="335">
        <v>2</v>
      </c>
      <c r="B3" s="388" t="s">
        <v>325</v>
      </c>
      <c r="C3" s="388"/>
      <c r="D3" s="388"/>
      <c r="E3" s="388"/>
      <c r="F3" s="388"/>
      <c r="G3" s="388"/>
      <c r="H3" s="388"/>
      <c r="I3" s="388"/>
      <c r="J3" s="388"/>
      <c r="K3" s="388"/>
      <c r="L3" s="389"/>
    </row>
    <row r="4" spans="1:12" s="334" customFormat="1" ht="39" customHeight="1" x14ac:dyDescent="0.25">
      <c r="A4" s="335">
        <v>3</v>
      </c>
      <c r="B4" s="388" t="s">
        <v>326</v>
      </c>
      <c r="C4" s="388"/>
      <c r="D4" s="388"/>
      <c r="E4" s="388"/>
      <c r="F4" s="388"/>
      <c r="G4" s="388"/>
      <c r="H4" s="388"/>
      <c r="I4" s="388"/>
      <c r="J4" s="388"/>
      <c r="K4" s="388"/>
      <c r="L4" s="389"/>
    </row>
    <row r="5" spans="1:12" s="334" customFormat="1" ht="39" customHeight="1" x14ac:dyDescent="0.25">
      <c r="A5" s="335">
        <v>4</v>
      </c>
      <c r="B5" s="388" t="s">
        <v>330</v>
      </c>
      <c r="C5" s="388"/>
      <c r="D5" s="388"/>
      <c r="E5" s="388"/>
      <c r="F5" s="388"/>
      <c r="G5" s="388"/>
      <c r="H5" s="388"/>
      <c r="I5" s="388"/>
      <c r="J5" s="388"/>
      <c r="K5" s="388"/>
      <c r="L5" s="389"/>
    </row>
    <row r="6" spans="1:12" s="334" customFormat="1" ht="39" customHeight="1" x14ac:dyDescent="0.25">
      <c r="A6" s="335">
        <v>5</v>
      </c>
      <c r="B6" s="388" t="s">
        <v>327</v>
      </c>
      <c r="C6" s="388"/>
      <c r="D6" s="388"/>
      <c r="E6" s="388"/>
      <c r="F6" s="388"/>
      <c r="G6" s="388"/>
      <c r="H6" s="388"/>
      <c r="I6" s="388"/>
      <c r="J6" s="388"/>
      <c r="K6" s="388"/>
      <c r="L6" s="389"/>
    </row>
    <row r="7" spans="1:12" s="334" customFormat="1" ht="39" customHeight="1" x14ac:dyDescent="0.25">
      <c r="A7" s="335">
        <v>6</v>
      </c>
      <c r="B7" s="388" t="s">
        <v>328</v>
      </c>
      <c r="C7" s="388"/>
      <c r="D7" s="388"/>
      <c r="E7" s="388"/>
      <c r="F7" s="388"/>
      <c r="G7" s="388"/>
      <c r="H7" s="388"/>
      <c r="I7" s="388"/>
      <c r="J7" s="388"/>
      <c r="K7" s="388"/>
      <c r="L7" s="389"/>
    </row>
    <row r="8" spans="1:12" s="334" customFormat="1" ht="39" customHeight="1" x14ac:dyDescent="0.25">
      <c r="A8" s="335">
        <v>7</v>
      </c>
      <c r="B8" s="388" t="s">
        <v>329</v>
      </c>
      <c r="C8" s="388"/>
      <c r="D8" s="388"/>
      <c r="E8" s="388"/>
      <c r="F8" s="388"/>
      <c r="G8" s="388"/>
      <c r="H8" s="388"/>
      <c r="I8" s="388"/>
      <c r="J8" s="388"/>
      <c r="K8" s="388"/>
      <c r="L8" s="389"/>
    </row>
    <row r="9" spans="1:12" s="334" customFormat="1" ht="20" x14ac:dyDescent="0.25">
      <c r="A9" s="335"/>
      <c r="B9" s="388" t="s">
        <v>344</v>
      </c>
      <c r="C9" s="388"/>
      <c r="D9" s="388"/>
      <c r="E9" s="388"/>
      <c r="F9" s="388"/>
      <c r="G9" s="388"/>
      <c r="H9" s="388"/>
      <c r="I9" s="388"/>
      <c r="J9" s="388"/>
      <c r="K9" s="388"/>
      <c r="L9" s="389"/>
    </row>
    <row r="10" spans="1:12" s="334" customFormat="1" ht="20" x14ac:dyDescent="0.25">
      <c r="A10" s="335"/>
      <c r="B10" s="380"/>
      <c r="C10" s="380"/>
      <c r="D10" s="380"/>
      <c r="E10" s="380"/>
      <c r="F10" s="380"/>
      <c r="G10" s="380"/>
      <c r="H10" s="380"/>
      <c r="I10" s="380"/>
      <c r="J10" s="380"/>
      <c r="K10" s="380"/>
      <c r="L10" s="381"/>
    </row>
    <row r="11" spans="1:12" s="334" customFormat="1" ht="25" customHeight="1" x14ac:dyDescent="0.25">
      <c r="A11" s="335">
        <v>8</v>
      </c>
      <c r="B11" s="388" t="s">
        <v>342</v>
      </c>
      <c r="C11" s="388"/>
      <c r="D11" s="388"/>
      <c r="E11" s="388"/>
      <c r="F11" s="388"/>
      <c r="G11" s="388"/>
      <c r="H11" s="388"/>
      <c r="I11" s="388"/>
      <c r="J11" s="388"/>
      <c r="K11" s="388"/>
      <c r="L11" s="389"/>
    </row>
    <row r="12" spans="1:12" s="334" customFormat="1" ht="33" customHeight="1" x14ac:dyDescent="0.25">
      <c r="A12" s="335"/>
      <c r="B12" s="388" t="s">
        <v>343</v>
      </c>
      <c r="C12" s="388"/>
      <c r="D12" s="388"/>
      <c r="E12" s="388"/>
      <c r="F12" s="388"/>
      <c r="G12" s="388"/>
      <c r="H12" s="388"/>
      <c r="I12" s="388"/>
      <c r="J12" s="388"/>
      <c r="K12" s="388"/>
      <c r="L12" s="389"/>
    </row>
    <row r="13" spans="1:12" s="334" customFormat="1" ht="39" customHeight="1" x14ac:dyDescent="0.25">
      <c r="A13" s="335">
        <v>9</v>
      </c>
      <c r="B13" s="388" t="s">
        <v>345</v>
      </c>
      <c r="C13" s="388"/>
      <c r="D13" s="388"/>
      <c r="E13" s="388"/>
      <c r="F13" s="388"/>
      <c r="G13" s="388"/>
      <c r="H13" s="388"/>
      <c r="I13" s="388"/>
      <c r="J13" s="388"/>
      <c r="K13" s="388"/>
      <c r="L13" s="389"/>
    </row>
    <row r="14" spans="1:12" s="334" customFormat="1" ht="39" customHeight="1" x14ac:dyDescent="0.25">
      <c r="A14" s="335">
        <v>10</v>
      </c>
      <c r="B14" s="388" t="s">
        <v>346</v>
      </c>
      <c r="C14" s="388"/>
      <c r="D14" s="388"/>
      <c r="E14" s="388"/>
      <c r="F14" s="388"/>
      <c r="G14" s="388"/>
      <c r="H14" s="388"/>
      <c r="I14" s="388"/>
      <c r="J14" s="388"/>
      <c r="K14" s="388"/>
      <c r="L14" s="389"/>
    </row>
    <row r="15" spans="1:12" s="334" customFormat="1" ht="39" customHeight="1" thickBot="1" x14ac:dyDescent="0.3">
      <c r="A15" s="336">
        <v>11</v>
      </c>
      <c r="B15" s="390" t="s">
        <v>275</v>
      </c>
      <c r="C15" s="390"/>
      <c r="D15" s="390"/>
      <c r="E15" s="390"/>
      <c r="F15" s="390"/>
      <c r="G15" s="390"/>
      <c r="H15" s="390"/>
      <c r="I15" s="390"/>
      <c r="J15" s="390"/>
      <c r="K15" s="390"/>
      <c r="L15" s="391"/>
    </row>
    <row r="20" spans="5:5" ht="16" x14ac:dyDescent="0.2">
      <c r="E20" s="333"/>
    </row>
  </sheetData>
  <mergeCells count="14">
    <mergeCell ref="B6:L6"/>
    <mergeCell ref="A1:L1"/>
    <mergeCell ref="B2:L2"/>
    <mergeCell ref="B3:L3"/>
    <mergeCell ref="B4:L4"/>
    <mergeCell ref="B5:L5"/>
    <mergeCell ref="B7:L7"/>
    <mergeCell ref="B8:L8"/>
    <mergeCell ref="B13:L13"/>
    <mergeCell ref="B15:L15"/>
    <mergeCell ref="B11:L11"/>
    <mergeCell ref="B14:L14"/>
    <mergeCell ref="B9:L9"/>
    <mergeCell ref="B12:L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D3C14-6176-8249-86D0-2F218111B302}">
  <sheetPr>
    <tabColor rgb="FF00B050"/>
  </sheetPr>
  <dimension ref="A2:O69"/>
  <sheetViews>
    <sheetView zoomScale="125" workbookViewId="0">
      <selection activeCell="J19" sqref="J19"/>
    </sheetView>
  </sheetViews>
  <sheetFormatPr baseColWidth="10" defaultRowHeight="15" x14ac:dyDescent="0.2"/>
  <cols>
    <col min="1" max="1" width="3.5" customWidth="1"/>
    <col min="3" max="3" width="19.1640625" customWidth="1"/>
    <col min="4" max="4" width="13" customWidth="1"/>
    <col min="5" max="12" width="14.83203125" customWidth="1"/>
  </cols>
  <sheetData>
    <row r="2" spans="1:15" s="25" customFormat="1" ht="34" x14ac:dyDescent="0.2">
      <c r="B2" s="182" t="s">
        <v>334</v>
      </c>
    </row>
    <row r="3" spans="1:15" s="25" customFormat="1" ht="14" x14ac:dyDescent="0.2"/>
    <row r="4" spans="1:15" s="25" customFormat="1" ht="16" x14ac:dyDescent="0.2">
      <c r="B4" s="403" t="s">
        <v>303</v>
      </c>
      <c r="C4" s="403"/>
      <c r="D4" s="286"/>
      <c r="E4" s="286"/>
    </row>
    <row r="5" spans="1:15" s="25" customFormat="1" ht="14" x14ac:dyDescent="0.2">
      <c r="B5" s="280"/>
      <c r="C5" s="287" t="s">
        <v>110</v>
      </c>
      <c r="D5" s="27"/>
      <c r="E5" s="27"/>
    </row>
    <row r="6" spans="1:15" s="25" customFormat="1" ht="14" x14ac:dyDescent="0.2">
      <c r="B6" s="281"/>
      <c r="C6" s="288" t="s">
        <v>99</v>
      </c>
    </row>
    <row r="7" spans="1:15" s="25" customFormat="1" ht="14" x14ac:dyDescent="0.2">
      <c r="B7" s="282"/>
      <c r="C7" s="288" t="s">
        <v>100</v>
      </c>
    </row>
    <row r="8" spans="1:15" s="25" customFormat="1" ht="14" x14ac:dyDescent="0.2">
      <c r="B8" s="283"/>
      <c r="C8" s="287" t="s">
        <v>302</v>
      </c>
    </row>
    <row r="9" spans="1:15" s="25" customFormat="1" ht="17" customHeight="1" x14ac:dyDescent="0.2">
      <c r="B9" s="337"/>
      <c r="C9" s="338" t="s">
        <v>316</v>
      </c>
      <c r="D9" s="157"/>
      <c r="E9" s="157"/>
      <c r="I9" s="26"/>
      <c r="J9" s="26"/>
      <c r="M9" s="26"/>
      <c r="N9" s="26"/>
    </row>
    <row r="10" spans="1:15" s="25" customFormat="1" ht="17" customHeight="1" x14ac:dyDescent="0.2">
      <c r="I10" s="27"/>
      <c r="J10" s="27"/>
      <c r="M10" s="27"/>
      <c r="N10" s="27"/>
    </row>
    <row r="11" spans="1:15" s="25" customFormat="1" ht="16" customHeight="1" x14ac:dyDescent="0.2">
      <c r="B11" s="156" t="s">
        <v>337</v>
      </c>
      <c r="D11" s="285"/>
      <c r="I11" s="27"/>
      <c r="J11" s="27"/>
      <c r="M11" s="27"/>
      <c r="N11" s="27"/>
    </row>
    <row r="12" spans="1:15" s="25" customFormat="1" ht="16" customHeight="1" x14ac:dyDescent="0.2">
      <c r="B12" s="399" t="s">
        <v>338</v>
      </c>
      <c r="C12" s="400"/>
      <c r="D12" s="401"/>
      <c r="E12" s="402"/>
      <c r="F12" s="402"/>
      <c r="G12" s="402"/>
      <c r="H12" s="402"/>
      <c r="I12" s="27"/>
      <c r="J12" s="27"/>
      <c r="M12" s="27"/>
      <c r="N12" s="27"/>
    </row>
    <row r="13" spans="1:15" s="25" customFormat="1" ht="16" x14ac:dyDescent="0.2">
      <c r="A13" s="27"/>
      <c r="B13" s="399" t="s">
        <v>90</v>
      </c>
      <c r="C13" s="400"/>
      <c r="D13" s="401"/>
      <c r="E13" s="402"/>
      <c r="F13" s="402"/>
      <c r="G13" s="402"/>
      <c r="H13" s="402"/>
      <c r="J13" s="37"/>
      <c r="L13" s="95"/>
      <c r="M13" s="42"/>
      <c r="N13" s="28"/>
      <c r="O13" s="27"/>
    </row>
    <row r="14" spans="1:15" s="25" customFormat="1" ht="16" x14ac:dyDescent="0.2">
      <c r="A14" s="27"/>
      <c r="B14" s="396" t="s">
        <v>213</v>
      </c>
      <c r="C14" s="397"/>
      <c r="D14" s="401"/>
      <c r="E14" s="402"/>
      <c r="F14" s="402"/>
      <c r="G14" s="402"/>
      <c r="H14" s="402"/>
      <c r="J14" s="37"/>
      <c r="L14" s="95"/>
      <c r="M14" s="42"/>
      <c r="N14" s="28"/>
      <c r="O14" s="27"/>
    </row>
    <row r="15" spans="1:15" s="25" customFormat="1" ht="16" x14ac:dyDescent="0.2">
      <c r="A15" s="27"/>
      <c r="B15" s="396" t="s">
        <v>336</v>
      </c>
      <c r="C15" s="397"/>
      <c r="D15" s="401"/>
      <c r="E15" s="401"/>
      <c r="F15" s="401"/>
      <c r="G15" s="401"/>
      <c r="H15" s="401"/>
      <c r="J15" s="37"/>
      <c r="L15" s="95"/>
      <c r="M15" s="42"/>
      <c r="N15" s="28"/>
      <c r="O15" s="27"/>
    </row>
    <row r="16" spans="1:15" s="25" customFormat="1" ht="17" x14ac:dyDescent="0.2">
      <c r="A16" s="27"/>
      <c r="B16" s="396" t="s">
        <v>215</v>
      </c>
      <c r="C16" s="397"/>
      <c r="D16" s="159"/>
      <c r="E16" s="158" t="s">
        <v>216</v>
      </c>
      <c r="F16" s="159"/>
      <c r="G16" s="158" t="s">
        <v>217</v>
      </c>
      <c r="H16" s="159"/>
      <c r="J16" s="37"/>
      <c r="L16" s="95"/>
      <c r="M16" s="42"/>
      <c r="N16" s="28"/>
      <c r="O16" s="27"/>
    </row>
    <row r="17" spans="1:15" s="25" customFormat="1" ht="17" x14ac:dyDescent="0.2">
      <c r="A17" s="27"/>
      <c r="B17" s="396" t="s">
        <v>218</v>
      </c>
      <c r="C17" s="397"/>
      <c r="D17" s="159"/>
      <c r="E17" s="158" t="s">
        <v>219</v>
      </c>
      <c r="F17" s="159"/>
      <c r="G17" s="158" t="s">
        <v>220</v>
      </c>
      <c r="H17" s="159"/>
      <c r="J17" s="37"/>
      <c r="L17" s="95"/>
      <c r="M17" s="42"/>
      <c r="N17" s="28"/>
      <c r="O17" s="27"/>
    </row>
    <row r="18" spans="1:15" s="25" customFormat="1" ht="17" x14ac:dyDescent="0.2">
      <c r="A18" s="27"/>
      <c r="B18" s="396" t="s">
        <v>217</v>
      </c>
      <c r="C18" s="397"/>
      <c r="D18" s="159"/>
      <c r="E18" s="158" t="s">
        <v>221</v>
      </c>
      <c r="F18" s="398"/>
      <c r="G18" s="398"/>
      <c r="H18" s="398"/>
      <c r="J18" s="37"/>
      <c r="L18" s="95"/>
      <c r="M18" s="42"/>
      <c r="N18" s="28"/>
      <c r="O18" s="27"/>
    </row>
    <row r="19" spans="1:15" ht="16" thickBot="1" x14ac:dyDescent="0.25">
      <c r="C19" s="25"/>
      <c r="D19" s="25"/>
      <c r="E19" s="25"/>
      <c r="F19" s="25"/>
      <c r="G19" s="25"/>
      <c r="H19" s="25"/>
      <c r="I19" s="25"/>
      <c r="J19" s="25"/>
      <c r="K19" s="25"/>
      <c r="L19" s="25"/>
      <c r="M19" s="25"/>
    </row>
    <row r="20" spans="1:15" ht="30" customHeight="1" thickBot="1" x14ac:dyDescent="0.35">
      <c r="B20" s="408" t="s">
        <v>331</v>
      </c>
      <c r="C20" s="408"/>
      <c r="D20" s="408"/>
      <c r="E20" s="408"/>
      <c r="F20" s="408"/>
      <c r="G20" s="343" t="s">
        <v>292</v>
      </c>
      <c r="H20" s="343" t="s">
        <v>292</v>
      </c>
      <c r="I20" s="343" t="s">
        <v>293</v>
      </c>
      <c r="J20" s="343" t="s">
        <v>293</v>
      </c>
      <c r="K20" s="342"/>
      <c r="L20" s="344"/>
      <c r="M20" s="25"/>
    </row>
    <row r="21" spans="1:15" ht="16" thickBot="1" x14ac:dyDescent="0.25">
      <c r="E21" s="311" t="s">
        <v>290</v>
      </c>
      <c r="F21" s="311" t="s">
        <v>291</v>
      </c>
      <c r="G21" s="293" t="s">
        <v>290</v>
      </c>
      <c r="H21" s="293" t="s">
        <v>291</v>
      </c>
      <c r="I21" s="293" t="s">
        <v>290</v>
      </c>
      <c r="J21" s="293" t="s">
        <v>291</v>
      </c>
      <c r="K21" s="376" t="s">
        <v>203</v>
      </c>
      <c r="L21" s="376" t="s">
        <v>205</v>
      </c>
      <c r="M21" s="25"/>
    </row>
    <row r="22" spans="1:15" ht="15" customHeight="1" x14ac:dyDescent="0.2">
      <c r="B22" s="405" t="s">
        <v>324</v>
      </c>
      <c r="C22" s="410" t="s">
        <v>192</v>
      </c>
      <c r="D22" s="290" t="s">
        <v>136</v>
      </c>
      <c r="E22" s="291">
        <f>'Plant-Level Reporting (1)'!V176+'Plant-Level Reporting (2)'!V178+'Plant-Level Reporting (3)'!V178</f>
        <v>0</v>
      </c>
      <c r="F22" s="291">
        <f>'Plant-Level Reporting (1)'!W176+'Plant-Level Reporting (2)'!W178+'Plant-Level Reporting (3)'!W178</f>
        <v>0</v>
      </c>
      <c r="G22" s="293">
        <f>'Plant-Level Reporting (1)'!X176+'Plant-Level Reporting (2)'!X178+'Plant-Level Reporting (3)'!X178</f>
        <v>0</v>
      </c>
      <c r="H22" s="293">
        <f>'Plant-Level Reporting (1)'!Y176+'Plant-Level Reporting (2)'!Y178+'Plant-Level Reporting (3)'!Y178</f>
        <v>0</v>
      </c>
      <c r="I22" s="293">
        <f>'Plant-Level Reporting (1)'!Z176+'Plant-Level Reporting (2)'!Z178+'Plant-Level Reporting (3)'!Z178</f>
        <v>0</v>
      </c>
      <c r="J22" s="293">
        <f>'Plant-Level Reporting (1)'!AA176+'Plant-Level Reporting (2)'!AA178+'Plant-Level Reporting (3)'!AA178</f>
        <v>0</v>
      </c>
      <c r="K22" s="291">
        <f>'Plant-Level Reporting (1)'!AB176+'Plant-Level Reporting (2)'!AB178+'Plant-Level Reporting (3)'!AB178</f>
        <v>0</v>
      </c>
      <c r="L22" s="339">
        <f>'Plant-Level Reporting (1)'!AC176+'Plant-Level Reporting (2)'!AC178+'Plant-Level Reporting (3)'!AC178</f>
        <v>0</v>
      </c>
      <c r="M22" s="25"/>
    </row>
    <row r="23" spans="1:15" x14ac:dyDescent="0.2">
      <c r="B23" s="406"/>
      <c r="C23" s="411"/>
      <c r="D23" s="209"/>
      <c r="E23" s="217"/>
      <c r="F23" s="223" t="s">
        <v>137</v>
      </c>
      <c r="G23" s="298" t="s">
        <v>138</v>
      </c>
      <c r="H23" s="298" t="s">
        <v>138</v>
      </c>
      <c r="I23" s="298" t="s">
        <v>139</v>
      </c>
      <c r="J23" s="223" t="s">
        <v>139</v>
      </c>
      <c r="K23" s="224"/>
      <c r="L23" s="299"/>
      <c r="M23" s="25" t="s">
        <v>289</v>
      </c>
    </row>
    <row r="24" spans="1:15" x14ac:dyDescent="0.2">
      <c r="B24" s="406"/>
      <c r="C24" s="411"/>
      <c r="D24" s="209" t="s">
        <v>134</v>
      </c>
      <c r="E24" s="93">
        <f>'Plant-Level Reporting (1)'!V178+'Plant-Level Reporting (2)'!V180+'Plant-Level Reporting (3)'!V180</f>
        <v>0</v>
      </c>
      <c r="F24" s="93">
        <f>'Plant-Level Reporting (1)'!W178+'Plant-Level Reporting (2)'!W180+'Plant-Level Reporting (3)'!W180</f>
        <v>0</v>
      </c>
      <c r="G24" s="221">
        <f>'Plant-Level Reporting (1)'!X178+'Plant-Level Reporting (2)'!X180+'Plant-Level Reporting (3)'!X180</f>
        <v>0</v>
      </c>
      <c r="H24" s="221">
        <f>'Plant-Level Reporting (1)'!Y178+'Plant-Level Reporting (2)'!Y180+'Plant-Level Reporting (3)'!Y180</f>
        <v>0</v>
      </c>
      <c r="I24" s="221">
        <f>'Plant-Level Reporting (1)'!Z178+'Plant-Level Reporting (2)'!Z180+'Plant-Level Reporting (3)'!Z180</f>
        <v>0</v>
      </c>
      <c r="J24" s="221">
        <f>'Plant-Level Reporting (1)'!AA178+'Plant-Level Reporting (2)'!AA180+'Plant-Level Reporting (3)'!AA180</f>
        <v>0</v>
      </c>
      <c r="K24" s="93">
        <f>'Plant-Level Reporting (1)'!AB178+'Plant-Level Reporting (2)'!AB180+'Plant-Level Reporting (3)'!AB180</f>
        <v>0</v>
      </c>
      <c r="L24" s="340">
        <f>'Plant-Level Reporting (1)'!AC178+'Plant-Level Reporting (2)'!AC180+'Plant-Level Reporting (3)'!AC180</f>
        <v>0</v>
      </c>
      <c r="M24" s="25"/>
    </row>
    <row r="25" spans="1:15" x14ac:dyDescent="0.2">
      <c r="B25" s="406"/>
      <c r="C25" s="301"/>
      <c r="D25" s="25"/>
      <c r="E25" s="25"/>
      <c r="F25" s="132"/>
      <c r="G25" s="25"/>
      <c r="H25" s="25"/>
      <c r="I25" s="25"/>
      <c r="J25" s="132"/>
      <c r="K25" s="134"/>
      <c r="L25" s="284"/>
      <c r="M25" s="25"/>
    </row>
    <row r="26" spans="1:15" x14ac:dyDescent="0.2">
      <c r="B26" s="406"/>
      <c r="C26" s="302" t="s">
        <v>210</v>
      </c>
      <c r="D26" s="209" t="s">
        <v>134</v>
      </c>
      <c r="E26" s="93">
        <f>'Plant-Level Reporting (1)'!V180+'Plant-Level Reporting (2)'!V182+'Plant-Level Reporting (3)'!V182</f>
        <v>0</v>
      </c>
      <c r="F26" s="93">
        <f>'Plant-Level Reporting (1)'!W180+'Plant-Level Reporting (2)'!W182+'Plant-Level Reporting (3)'!W182</f>
        <v>0</v>
      </c>
      <c r="G26" s="221">
        <f>'Plant-Level Reporting (1)'!X180+'Plant-Level Reporting (2)'!X182+'Plant-Level Reporting (3)'!X182</f>
        <v>0</v>
      </c>
      <c r="H26" s="221">
        <f>'Plant-Level Reporting (1)'!Y180+'Plant-Level Reporting (2)'!Y182+'Plant-Level Reporting (3)'!Y182</f>
        <v>0</v>
      </c>
      <c r="I26" s="221">
        <f>'Plant-Level Reporting (1)'!Z180+'Plant-Level Reporting (2)'!Z182+'Plant-Level Reporting (3)'!Z182</f>
        <v>0</v>
      </c>
      <c r="J26" s="221">
        <f>'Plant-Level Reporting (1)'!AA180+'Plant-Level Reporting (2)'!AA182+'Plant-Level Reporting (3)'!AA182</f>
        <v>0</v>
      </c>
      <c r="K26" s="93">
        <f>'Plant-Level Reporting (1)'!AB180+'Plant-Level Reporting (2)'!AB182+'Plant-Level Reporting (3)'!AB182</f>
        <v>0</v>
      </c>
      <c r="L26" s="340">
        <f>'Plant-Level Reporting (1)'!AC180+'Plant-Level Reporting (2)'!AC182+'Plant-Level Reporting (3)'!AC182</f>
        <v>0</v>
      </c>
      <c r="M26" s="25"/>
    </row>
    <row r="27" spans="1:15" x14ac:dyDescent="0.2">
      <c r="B27" s="406"/>
      <c r="C27" s="302" t="s">
        <v>197</v>
      </c>
      <c r="D27" s="209" t="s">
        <v>134</v>
      </c>
      <c r="E27" s="93">
        <f>'Plant-Level Reporting (1)'!V181+'Plant-Level Reporting (2)'!V183+'Plant-Level Reporting (3)'!V183</f>
        <v>0</v>
      </c>
      <c r="F27" s="93">
        <f>'Plant-Level Reporting (1)'!W181+'Plant-Level Reporting (2)'!W183+'Plant-Level Reporting (3)'!W183</f>
        <v>0</v>
      </c>
      <c r="G27" s="221">
        <f>'Plant-Level Reporting (1)'!X181+'Plant-Level Reporting (2)'!X183+'Plant-Level Reporting (3)'!X183</f>
        <v>0</v>
      </c>
      <c r="H27" s="221">
        <f>'Plant-Level Reporting (1)'!Y181+'Plant-Level Reporting (2)'!Y183+'Plant-Level Reporting (3)'!Y183</f>
        <v>0</v>
      </c>
      <c r="I27" s="221">
        <f>'Plant-Level Reporting (1)'!Z181+'Plant-Level Reporting (2)'!Z183+'Plant-Level Reporting (3)'!Z183</f>
        <v>0</v>
      </c>
      <c r="J27" s="221">
        <f>'Plant-Level Reporting (1)'!AA181+'Plant-Level Reporting (2)'!AA183+'Plant-Level Reporting (3)'!AA183</f>
        <v>0</v>
      </c>
      <c r="K27" s="93">
        <f>'Plant-Level Reporting (1)'!AB181+'Plant-Level Reporting (2)'!AB183+'Plant-Level Reporting (3)'!AB183</f>
        <v>0</v>
      </c>
      <c r="L27" s="340">
        <f>'Plant-Level Reporting (1)'!AC181+'Plant-Level Reporting (2)'!AC183+'Plant-Level Reporting (3)'!AC183</f>
        <v>0</v>
      </c>
      <c r="M27" s="25"/>
    </row>
    <row r="28" spans="1:15" x14ac:dyDescent="0.2">
      <c r="B28" s="406"/>
      <c r="C28" s="302" t="s">
        <v>200</v>
      </c>
      <c r="D28" s="209" t="s">
        <v>134</v>
      </c>
      <c r="E28" s="93">
        <f>'Plant-Level Reporting (1)'!V182+'Plant-Level Reporting (2)'!V184+'Plant-Level Reporting (3)'!V184</f>
        <v>0</v>
      </c>
      <c r="F28" s="93">
        <f>'Plant-Level Reporting (1)'!W182+'Plant-Level Reporting (2)'!W184+'Plant-Level Reporting (3)'!W184</f>
        <v>0</v>
      </c>
      <c r="G28" s="221">
        <f>'Plant-Level Reporting (1)'!X182+'Plant-Level Reporting (2)'!X184+'Plant-Level Reporting (3)'!X184</f>
        <v>0</v>
      </c>
      <c r="H28" s="221">
        <f>'Plant-Level Reporting (1)'!Y182+'Plant-Level Reporting (2)'!Y184+'Plant-Level Reporting (3)'!Y184</f>
        <v>0</v>
      </c>
      <c r="I28" s="221">
        <f>'Plant-Level Reporting (1)'!Z182+'Plant-Level Reporting (2)'!Z184+'Plant-Level Reporting (3)'!Z184</f>
        <v>0</v>
      </c>
      <c r="J28" s="221">
        <f>'Plant-Level Reporting (1)'!AA182+'Plant-Level Reporting (2)'!AA184+'Plant-Level Reporting (3)'!AA184</f>
        <v>0</v>
      </c>
      <c r="K28" s="93">
        <f>'Plant-Level Reporting (1)'!AB182+'Plant-Level Reporting (2)'!AB184+'Plant-Level Reporting (3)'!AB184</f>
        <v>0</v>
      </c>
      <c r="L28" s="340">
        <f>'Plant-Level Reporting (1)'!AC182+'Plant-Level Reporting (2)'!AC184+'Plant-Level Reporting (3)'!AC184</f>
        <v>0</v>
      </c>
      <c r="M28" s="25"/>
    </row>
    <row r="29" spans="1:15" x14ac:dyDescent="0.2">
      <c r="B29" s="406"/>
      <c r="C29" s="302" t="s">
        <v>195</v>
      </c>
      <c r="D29" s="209" t="s">
        <v>134</v>
      </c>
      <c r="E29" s="93">
        <f>'Plant-Level Reporting (1)'!V183+'Plant-Level Reporting (2)'!V185+'Plant-Level Reporting (3)'!V185</f>
        <v>0</v>
      </c>
      <c r="F29" s="93">
        <f>'Plant-Level Reporting (1)'!W183+'Plant-Level Reporting (2)'!W185+'Plant-Level Reporting (3)'!W185</f>
        <v>0</v>
      </c>
      <c r="G29" s="221">
        <f>'Plant-Level Reporting (1)'!X183+'Plant-Level Reporting (2)'!X185+'Plant-Level Reporting (3)'!X185</f>
        <v>0</v>
      </c>
      <c r="H29" s="221">
        <f>'Plant-Level Reporting (1)'!Y183+'Plant-Level Reporting (2)'!Y185+'Plant-Level Reporting (3)'!Y185</f>
        <v>0</v>
      </c>
      <c r="I29" s="221">
        <f>'Plant-Level Reporting (1)'!Z183+'Plant-Level Reporting (2)'!Z185+'Plant-Level Reporting (3)'!Z185</f>
        <v>0</v>
      </c>
      <c r="J29" s="221">
        <f>'Plant-Level Reporting (1)'!AA183+'Plant-Level Reporting (2)'!AA185+'Plant-Level Reporting (3)'!AA185</f>
        <v>0</v>
      </c>
      <c r="K29" s="93">
        <f>'Plant-Level Reporting (1)'!AB183+'Plant-Level Reporting (2)'!AB185+'Plant-Level Reporting (3)'!AB185</f>
        <v>0</v>
      </c>
      <c r="L29" s="340">
        <f>'Plant-Level Reporting (1)'!AC183+'Plant-Level Reporting (2)'!AC185+'Plant-Level Reporting (3)'!AC185</f>
        <v>0</v>
      </c>
      <c r="M29" s="25"/>
    </row>
    <row r="30" spans="1:15" x14ac:dyDescent="0.2">
      <c r="B30" s="406"/>
      <c r="C30" s="302" t="s">
        <v>194</v>
      </c>
      <c r="D30" s="209" t="s">
        <v>134</v>
      </c>
      <c r="E30" s="93">
        <f>'Plant-Level Reporting (1)'!V184+'Plant-Level Reporting (2)'!V186+'Plant-Level Reporting (3)'!V186</f>
        <v>0</v>
      </c>
      <c r="F30" s="93">
        <f>'Plant-Level Reporting (1)'!W184+'Plant-Level Reporting (2)'!W186+'Plant-Level Reporting (3)'!W186</f>
        <v>0</v>
      </c>
      <c r="G30" s="221">
        <f>'Plant-Level Reporting (1)'!X184+'Plant-Level Reporting (2)'!X186+'Plant-Level Reporting (3)'!X186</f>
        <v>0</v>
      </c>
      <c r="H30" s="221">
        <f>'Plant-Level Reporting (1)'!Y184+'Plant-Level Reporting (2)'!Y186+'Plant-Level Reporting (3)'!Y186</f>
        <v>0</v>
      </c>
      <c r="I30" s="221">
        <f>'Plant-Level Reporting (1)'!Z184+'Plant-Level Reporting (2)'!Z186+'Plant-Level Reporting (3)'!Z186</f>
        <v>0</v>
      </c>
      <c r="J30" s="221">
        <f>'Plant-Level Reporting (1)'!AA184+'Plant-Level Reporting (2)'!AA186+'Plant-Level Reporting (3)'!AA186</f>
        <v>0</v>
      </c>
      <c r="K30" s="93">
        <f>'Plant-Level Reporting (1)'!AB184+'Plant-Level Reporting (2)'!AB186+'Plant-Level Reporting (3)'!AB186</f>
        <v>0</v>
      </c>
      <c r="L30" s="340">
        <f>'Plant-Level Reporting (1)'!AC184+'Plant-Level Reporting (2)'!AC186+'Plant-Level Reporting (3)'!AC186</f>
        <v>0</v>
      </c>
      <c r="M30" s="25"/>
    </row>
    <row r="31" spans="1:15" x14ac:dyDescent="0.2">
      <c r="B31" s="406"/>
      <c r="C31" s="302" t="s">
        <v>308</v>
      </c>
      <c r="D31" s="209" t="s">
        <v>134</v>
      </c>
      <c r="E31" s="93">
        <f>'Plant-Level Reporting (1)'!V185+'Plant-Level Reporting (2)'!V187+'Plant-Level Reporting (3)'!V187</f>
        <v>0</v>
      </c>
      <c r="F31" s="93">
        <f>'Plant-Level Reporting (1)'!W185+'Plant-Level Reporting (2)'!W187+'Plant-Level Reporting (3)'!W187</f>
        <v>0</v>
      </c>
      <c r="G31" s="221">
        <f>'Plant-Level Reporting (1)'!X185+'Plant-Level Reporting (2)'!X187+'Plant-Level Reporting (3)'!X187</f>
        <v>0</v>
      </c>
      <c r="H31" s="221">
        <f>'Plant-Level Reporting (1)'!Y185+'Plant-Level Reporting (2)'!Y187+'Plant-Level Reporting (3)'!Y187</f>
        <v>0</v>
      </c>
      <c r="I31" s="221">
        <f>'Plant-Level Reporting (1)'!Z185+'Plant-Level Reporting (2)'!Z187+'Plant-Level Reporting (3)'!Z187</f>
        <v>0</v>
      </c>
      <c r="J31" s="221">
        <f>'Plant-Level Reporting (1)'!AA185+'Plant-Level Reporting (2)'!AA187+'Plant-Level Reporting (3)'!AA187</f>
        <v>0</v>
      </c>
      <c r="K31" s="93">
        <f>'Plant-Level Reporting (1)'!AB185+'Plant-Level Reporting (2)'!AB187+'Plant-Level Reporting (3)'!AB187</f>
        <v>0</v>
      </c>
      <c r="L31" s="340">
        <f>'Plant-Level Reporting (1)'!AC185+'Plant-Level Reporting (2)'!AC187+'Plant-Level Reporting (3)'!AC187</f>
        <v>0</v>
      </c>
      <c r="M31" s="25"/>
    </row>
    <row r="32" spans="1:15" x14ac:dyDescent="0.2">
      <c r="B32" s="406"/>
      <c r="C32" s="302" t="s">
        <v>196</v>
      </c>
      <c r="D32" s="209" t="s">
        <v>134</v>
      </c>
      <c r="E32" s="93">
        <f>'Plant-Level Reporting (1)'!V186+'Plant-Level Reporting (2)'!V188+'Plant-Level Reporting (3)'!V188</f>
        <v>0</v>
      </c>
      <c r="F32" s="93">
        <f>'Plant-Level Reporting (1)'!W186+'Plant-Level Reporting (2)'!W188+'Plant-Level Reporting (3)'!W188</f>
        <v>0</v>
      </c>
      <c r="G32" s="221">
        <f>'Plant-Level Reporting (1)'!X186+'Plant-Level Reporting (2)'!X188+'Plant-Level Reporting (3)'!X188</f>
        <v>0</v>
      </c>
      <c r="H32" s="221">
        <f>'Plant-Level Reporting (1)'!Y186+'Plant-Level Reporting (2)'!Y188+'Plant-Level Reporting (3)'!Y188</f>
        <v>0</v>
      </c>
      <c r="I32" s="221">
        <f>'Plant-Level Reporting (1)'!Z186+'Plant-Level Reporting (2)'!Z188+'Plant-Level Reporting (3)'!Z188</f>
        <v>0</v>
      </c>
      <c r="J32" s="221">
        <f>'Plant-Level Reporting (1)'!AA186+'Plant-Level Reporting (2)'!AA188+'Plant-Level Reporting (3)'!AA188</f>
        <v>0</v>
      </c>
      <c r="K32" s="93">
        <f>'Plant-Level Reporting (1)'!AB186+'Plant-Level Reporting (2)'!AB188+'Plant-Level Reporting (3)'!AB188</f>
        <v>0</v>
      </c>
      <c r="L32" s="340">
        <f>'Plant-Level Reporting (1)'!AC186+'Plant-Level Reporting (2)'!AC188+'Plant-Level Reporting (3)'!AC188</f>
        <v>0</v>
      </c>
      <c r="M32" s="25"/>
    </row>
    <row r="33" spans="2:13" x14ac:dyDescent="0.2">
      <c r="B33" s="406"/>
      <c r="C33" s="302" t="s">
        <v>48</v>
      </c>
      <c r="D33" s="209" t="s">
        <v>134</v>
      </c>
      <c r="E33" s="93">
        <f>'Plant-Level Reporting (1)'!V187+'Plant-Level Reporting (2)'!V189+'Plant-Level Reporting (3)'!V189</f>
        <v>0</v>
      </c>
      <c r="F33" s="93">
        <f>'Plant-Level Reporting (1)'!W187+'Plant-Level Reporting (2)'!W189+'Plant-Level Reporting (3)'!W189</f>
        <v>0</v>
      </c>
      <c r="G33" s="221">
        <f>'Plant-Level Reporting (1)'!X187+'Plant-Level Reporting (2)'!X189+'Plant-Level Reporting (3)'!X189</f>
        <v>0</v>
      </c>
      <c r="H33" s="221">
        <f>'Plant-Level Reporting (1)'!Y187+'Plant-Level Reporting (2)'!Y189+'Plant-Level Reporting (3)'!Y189</f>
        <v>0</v>
      </c>
      <c r="I33" s="221">
        <f>'Plant-Level Reporting (1)'!Z187+'Plant-Level Reporting (2)'!Z189+'Plant-Level Reporting (3)'!Z189</f>
        <v>0</v>
      </c>
      <c r="J33" s="221">
        <f>'Plant-Level Reporting (1)'!AA187+'Plant-Level Reporting (2)'!AA189+'Plant-Level Reporting (3)'!AA189</f>
        <v>0</v>
      </c>
      <c r="K33" s="93">
        <f>'Plant-Level Reporting (1)'!AB187+'Plant-Level Reporting (2)'!AB189+'Plant-Level Reporting (3)'!AB189</f>
        <v>0</v>
      </c>
      <c r="L33" s="340">
        <f>'Plant-Level Reporting (1)'!AC187+'Plant-Level Reporting (2)'!AC189+'Plant-Level Reporting (3)'!AC189</f>
        <v>0</v>
      </c>
      <c r="M33" s="25"/>
    </row>
    <row r="34" spans="2:13" x14ac:dyDescent="0.2">
      <c r="B34" s="406"/>
      <c r="C34" s="302" t="s">
        <v>198</v>
      </c>
      <c r="D34" s="209" t="s">
        <v>134</v>
      </c>
      <c r="E34" s="93">
        <f>'Plant-Level Reporting (1)'!V188+'Plant-Level Reporting (2)'!V190+'Plant-Level Reporting (3)'!V190</f>
        <v>0</v>
      </c>
      <c r="F34" s="93">
        <f>'Plant-Level Reporting (1)'!W188+'Plant-Level Reporting (2)'!W190+'Plant-Level Reporting (3)'!W190</f>
        <v>0</v>
      </c>
      <c r="G34" s="221">
        <f>'Plant-Level Reporting (1)'!X188+'Plant-Level Reporting (2)'!X190+'Plant-Level Reporting (3)'!X190</f>
        <v>0</v>
      </c>
      <c r="H34" s="221">
        <f>'Plant-Level Reporting (1)'!Y188+'Plant-Level Reporting (2)'!Y190+'Plant-Level Reporting (3)'!Y190</f>
        <v>0</v>
      </c>
      <c r="I34" s="221">
        <f>'Plant-Level Reporting (1)'!Z188+'Plant-Level Reporting (2)'!Z190+'Plant-Level Reporting (3)'!Z190</f>
        <v>0</v>
      </c>
      <c r="J34" s="221">
        <f>'Plant-Level Reporting (1)'!AA188+'Plant-Level Reporting (2)'!AA190+'Plant-Level Reporting (3)'!AA190</f>
        <v>0</v>
      </c>
      <c r="K34" s="93">
        <f>'Plant-Level Reporting (1)'!AB188+'Plant-Level Reporting (2)'!AB190+'Plant-Level Reporting (3)'!AB190</f>
        <v>0</v>
      </c>
      <c r="L34" s="340">
        <f>'Plant-Level Reporting (1)'!AC188+'Plant-Level Reporting (2)'!AC190+'Plant-Level Reporting (3)'!AC190</f>
        <v>0</v>
      </c>
      <c r="M34" s="25"/>
    </row>
    <row r="35" spans="2:13" x14ac:dyDescent="0.2">
      <c r="B35" s="406"/>
      <c r="C35" s="302" t="s">
        <v>199</v>
      </c>
      <c r="D35" s="209" t="s">
        <v>134</v>
      </c>
      <c r="E35" s="93">
        <f>'Plant-Level Reporting (1)'!V189+'Plant-Level Reporting (2)'!V191+'Plant-Level Reporting (3)'!V191</f>
        <v>0</v>
      </c>
      <c r="F35" s="93">
        <f>'Plant-Level Reporting (1)'!W189+'Plant-Level Reporting (2)'!W191+'Plant-Level Reporting (3)'!W191</f>
        <v>0</v>
      </c>
      <c r="G35" s="221">
        <f>'Plant-Level Reporting (1)'!X189+'Plant-Level Reporting (2)'!X191+'Plant-Level Reporting (3)'!X191</f>
        <v>0</v>
      </c>
      <c r="H35" s="221">
        <f>'Plant-Level Reporting (1)'!Y189+'Plant-Level Reporting (2)'!Y191+'Plant-Level Reporting (3)'!Y191</f>
        <v>0</v>
      </c>
      <c r="I35" s="221">
        <f>'Plant-Level Reporting (1)'!Z189+'Plant-Level Reporting (2)'!Z191+'Plant-Level Reporting (3)'!Z191</f>
        <v>0</v>
      </c>
      <c r="J35" s="221">
        <f>'Plant-Level Reporting (1)'!AA189+'Plant-Level Reporting (2)'!AA191+'Plant-Level Reporting (3)'!AA191</f>
        <v>0</v>
      </c>
      <c r="K35" s="93">
        <f>'Plant-Level Reporting (1)'!AB189+'Plant-Level Reporting (2)'!AB191+'Plant-Level Reporting (3)'!AB191</f>
        <v>0</v>
      </c>
      <c r="L35" s="340">
        <f>'Plant-Level Reporting (1)'!AC189+'Plant-Level Reporting (2)'!AC191+'Plant-Level Reporting (3)'!AC191</f>
        <v>0</v>
      </c>
      <c r="M35" s="25"/>
    </row>
    <row r="36" spans="2:13" x14ac:dyDescent="0.2">
      <c r="B36" s="406"/>
      <c r="C36" s="302" t="s">
        <v>131</v>
      </c>
      <c r="D36" s="209" t="s">
        <v>134</v>
      </c>
      <c r="E36" s="93">
        <f>'Plant-Level Reporting (1)'!V190+'Plant-Level Reporting (2)'!V192+'Plant-Level Reporting (3)'!V192</f>
        <v>0</v>
      </c>
      <c r="F36" s="93">
        <f>'Plant-Level Reporting (1)'!W190+'Plant-Level Reporting (2)'!W192+'Plant-Level Reporting (3)'!W192</f>
        <v>0</v>
      </c>
      <c r="G36" s="221">
        <f>'Plant-Level Reporting (1)'!X190+'Plant-Level Reporting (2)'!X192+'Plant-Level Reporting (3)'!X192</f>
        <v>0</v>
      </c>
      <c r="H36" s="221">
        <f>'Plant-Level Reporting (1)'!Y190+'Plant-Level Reporting (2)'!Y192+'Plant-Level Reporting (3)'!Y192</f>
        <v>0</v>
      </c>
      <c r="I36" s="221">
        <f>'Plant-Level Reporting (1)'!Z190+'Plant-Level Reporting (2)'!Z192+'Plant-Level Reporting (3)'!Z192</f>
        <v>0</v>
      </c>
      <c r="J36" s="221">
        <f>'Plant-Level Reporting (1)'!AA190+'Plant-Level Reporting (2)'!AA192+'Plant-Level Reporting (3)'!AA192</f>
        <v>0</v>
      </c>
      <c r="K36" s="93">
        <f>'Plant-Level Reporting (1)'!AB190+'Plant-Level Reporting (2)'!AB192+'Plant-Level Reporting (3)'!AB192</f>
        <v>0</v>
      </c>
      <c r="L36" s="340">
        <f>'Plant-Level Reporting (1)'!AC190+'Plant-Level Reporting (2)'!AC192+'Plant-Level Reporting (3)'!AC192</f>
        <v>0</v>
      </c>
      <c r="M36" s="25"/>
    </row>
    <row r="37" spans="2:13" x14ac:dyDescent="0.2">
      <c r="B37" s="406"/>
      <c r="C37" s="302" t="s">
        <v>193</v>
      </c>
      <c r="D37" s="209" t="s">
        <v>134</v>
      </c>
      <c r="E37" s="93">
        <f>'Plant-Level Reporting (1)'!V191+'Plant-Level Reporting (2)'!V193+'Plant-Level Reporting (3)'!V193</f>
        <v>0</v>
      </c>
      <c r="F37" s="93">
        <f>'Plant-Level Reporting (1)'!W191+'Plant-Level Reporting (2)'!W193+'Plant-Level Reporting (3)'!W193</f>
        <v>0</v>
      </c>
      <c r="G37" s="221">
        <f>'Plant-Level Reporting (1)'!X191+'Plant-Level Reporting (2)'!X193+'Plant-Level Reporting (3)'!X193</f>
        <v>0</v>
      </c>
      <c r="H37" s="221">
        <f>'Plant-Level Reporting (1)'!Y191+'Plant-Level Reporting (2)'!Y193+'Plant-Level Reporting (3)'!Y193</f>
        <v>0</v>
      </c>
      <c r="I37" s="221">
        <f>'Plant-Level Reporting (1)'!Z191+'Plant-Level Reporting (2)'!Z193+'Plant-Level Reporting (3)'!Z193</f>
        <v>0</v>
      </c>
      <c r="J37" s="221">
        <f>'Plant-Level Reporting (1)'!AA191+'Plant-Level Reporting (2)'!AA193+'Plant-Level Reporting (3)'!AA193</f>
        <v>0</v>
      </c>
      <c r="K37" s="93">
        <f>'Plant-Level Reporting (1)'!AB191+'Plant-Level Reporting (2)'!AB193+'Plant-Level Reporting (3)'!AB193</f>
        <v>0</v>
      </c>
      <c r="L37" s="340">
        <f>'Plant-Level Reporting (1)'!AC191+'Plant-Level Reporting (2)'!AC193+'Plant-Level Reporting (3)'!AC193</f>
        <v>0</v>
      </c>
      <c r="M37" s="25"/>
    </row>
    <row r="38" spans="2:13" x14ac:dyDescent="0.2">
      <c r="B38" s="406"/>
      <c r="C38" s="302" t="s">
        <v>107</v>
      </c>
      <c r="D38" s="209" t="s">
        <v>134</v>
      </c>
      <c r="E38" s="93">
        <f>'Plant-Level Reporting (1)'!V192+'Plant-Level Reporting (2)'!V194+'Plant-Level Reporting (3)'!V194</f>
        <v>0</v>
      </c>
      <c r="F38" s="93">
        <f>'Plant-Level Reporting (1)'!W192+'Plant-Level Reporting (2)'!W194+'Plant-Level Reporting (3)'!W194</f>
        <v>0</v>
      </c>
      <c r="G38" s="221">
        <f>'Plant-Level Reporting (1)'!X192+'Plant-Level Reporting (2)'!X194+'Plant-Level Reporting (3)'!X194</f>
        <v>0</v>
      </c>
      <c r="H38" s="221">
        <f>'Plant-Level Reporting (1)'!Y192+'Plant-Level Reporting (2)'!Y194+'Plant-Level Reporting (3)'!Y194</f>
        <v>0</v>
      </c>
      <c r="I38" s="221">
        <f>'Plant-Level Reporting (1)'!Z192+'Plant-Level Reporting (2)'!Z194+'Plant-Level Reporting (3)'!Z194</f>
        <v>0</v>
      </c>
      <c r="J38" s="221">
        <f>'Plant-Level Reporting (1)'!AA192+'Plant-Level Reporting (2)'!AA194+'Plant-Level Reporting (3)'!AA194</f>
        <v>0</v>
      </c>
      <c r="K38" s="93">
        <f>'Plant-Level Reporting (1)'!AB192+'Plant-Level Reporting (2)'!AB194+'Plant-Level Reporting (3)'!AB194</f>
        <v>0</v>
      </c>
      <c r="L38" s="340">
        <f>'Plant-Level Reporting (1)'!AC192+'Plant-Level Reporting (2)'!AC194+'Plant-Level Reporting (3)'!AC194</f>
        <v>0</v>
      </c>
      <c r="M38" s="25"/>
    </row>
    <row r="39" spans="2:13" x14ac:dyDescent="0.2">
      <c r="B39" s="406"/>
      <c r="C39" s="302" t="s">
        <v>132</v>
      </c>
      <c r="D39" s="209" t="s">
        <v>134</v>
      </c>
      <c r="E39" s="93">
        <f>'Plant-Level Reporting (1)'!V193+'Plant-Level Reporting (2)'!V195+'Plant-Level Reporting (3)'!V195</f>
        <v>0</v>
      </c>
      <c r="F39" s="93">
        <f>'Plant-Level Reporting (1)'!W193+'Plant-Level Reporting (2)'!W195+'Plant-Level Reporting (3)'!W195</f>
        <v>0</v>
      </c>
      <c r="G39" s="221">
        <f>'Plant-Level Reporting (1)'!X193+'Plant-Level Reporting (2)'!X195+'Plant-Level Reporting (3)'!X195</f>
        <v>0</v>
      </c>
      <c r="H39" s="221">
        <f>'Plant-Level Reporting (1)'!Y193+'Plant-Level Reporting (2)'!Y195+'Plant-Level Reporting (3)'!Y195</f>
        <v>0</v>
      </c>
      <c r="I39" s="221">
        <f>'Plant-Level Reporting (1)'!Z193+'Plant-Level Reporting (2)'!Z195+'Plant-Level Reporting (3)'!Z195</f>
        <v>0</v>
      </c>
      <c r="J39" s="221">
        <f>'Plant-Level Reporting (1)'!AA193+'Plant-Level Reporting (2)'!AA195+'Plant-Level Reporting (3)'!AA195</f>
        <v>0</v>
      </c>
      <c r="K39" s="93">
        <f>'Plant-Level Reporting (1)'!AB193+'Plant-Level Reporting (2)'!AB195+'Plant-Level Reporting (3)'!AB195</f>
        <v>0</v>
      </c>
      <c r="L39" s="340">
        <f>'Plant-Level Reporting (1)'!AC193+'Plant-Level Reporting (2)'!AC195+'Plant-Level Reporting (3)'!AC195</f>
        <v>0</v>
      </c>
      <c r="M39" s="25"/>
    </row>
    <row r="40" spans="2:13" x14ac:dyDescent="0.2">
      <c r="B40" s="406"/>
      <c r="C40" s="302" t="s">
        <v>130</v>
      </c>
      <c r="D40" s="209" t="s">
        <v>134</v>
      </c>
      <c r="E40" s="93">
        <f>'Plant-Level Reporting (1)'!V194+'Plant-Level Reporting (2)'!V196+'Plant-Level Reporting (3)'!V196</f>
        <v>0</v>
      </c>
      <c r="F40" s="93">
        <f>'Plant-Level Reporting (1)'!W194+'Plant-Level Reporting (2)'!W196+'Plant-Level Reporting (3)'!W196</f>
        <v>0</v>
      </c>
      <c r="G40" s="221">
        <f>'Plant-Level Reporting (1)'!X194+'Plant-Level Reporting (2)'!X196+'Plant-Level Reporting (3)'!X196</f>
        <v>0</v>
      </c>
      <c r="H40" s="221">
        <f>'Plant-Level Reporting (1)'!Y194+'Plant-Level Reporting (2)'!Y196+'Plant-Level Reporting (3)'!Y196</f>
        <v>0</v>
      </c>
      <c r="I40" s="221">
        <f>'Plant-Level Reporting (1)'!Z194+'Plant-Level Reporting (2)'!Z196+'Plant-Level Reporting (3)'!Z196</f>
        <v>0</v>
      </c>
      <c r="J40" s="221">
        <f>'Plant-Level Reporting (1)'!AA194+'Plant-Level Reporting (2)'!AA196+'Plant-Level Reporting (3)'!AA196</f>
        <v>0</v>
      </c>
      <c r="K40" s="93">
        <f>'Plant-Level Reporting (1)'!AB194+'Plant-Level Reporting (2)'!AB196+'Plant-Level Reporting (3)'!AB196</f>
        <v>0</v>
      </c>
      <c r="L40" s="340">
        <f>'Plant-Level Reporting (1)'!AC194+'Plant-Level Reporting (2)'!AC196+'Plant-Level Reporting (3)'!AC196</f>
        <v>0</v>
      </c>
      <c r="M40" s="25"/>
    </row>
    <row r="41" spans="2:13" x14ac:dyDescent="0.2">
      <c r="B41" s="406"/>
      <c r="C41" s="302" t="s">
        <v>201</v>
      </c>
      <c r="D41" s="209" t="s">
        <v>134</v>
      </c>
      <c r="E41" s="93">
        <f>'Plant-Level Reporting (1)'!V195+'Plant-Level Reporting (2)'!V197+'Plant-Level Reporting (3)'!V197</f>
        <v>0</v>
      </c>
      <c r="F41" s="93">
        <f>'Plant-Level Reporting (1)'!W195+'Plant-Level Reporting (2)'!W197+'Plant-Level Reporting (3)'!W197</f>
        <v>0</v>
      </c>
      <c r="G41" s="221">
        <f>'Plant-Level Reporting (1)'!X195+'Plant-Level Reporting (2)'!X197+'Plant-Level Reporting (3)'!X197</f>
        <v>0</v>
      </c>
      <c r="H41" s="221">
        <f>'Plant-Level Reporting (1)'!Y195+'Plant-Level Reporting (2)'!Y197+'Plant-Level Reporting (3)'!Y197</f>
        <v>0</v>
      </c>
      <c r="I41" s="221">
        <f>'Plant-Level Reporting (1)'!Z195+'Plant-Level Reporting (2)'!Z197+'Plant-Level Reporting (3)'!Z197</f>
        <v>0</v>
      </c>
      <c r="J41" s="221">
        <f>'Plant-Level Reporting (1)'!AA195+'Plant-Level Reporting (2)'!AA197+'Plant-Level Reporting (3)'!AA197</f>
        <v>0</v>
      </c>
      <c r="K41" s="93">
        <f>'Plant-Level Reporting (1)'!AB195+'Plant-Level Reporting (2)'!AB197+'Plant-Level Reporting (3)'!AB197</f>
        <v>0</v>
      </c>
      <c r="L41" s="340">
        <f>'Plant-Level Reporting (1)'!AC195+'Plant-Level Reporting (2)'!AC197+'Plant-Level Reporting (3)'!AC197</f>
        <v>0</v>
      </c>
      <c r="M41" s="25"/>
    </row>
    <row r="42" spans="2:13" x14ac:dyDescent="0.2">
      <c r="B42" s="406"/>
      <c r="C42" s="301"/>
      <c r="D42" s="25"/>
      <c r="E42" s="25"/>
      <c r="F42" s="25"/>
      <c r="G42" s="25"/>
      <c r="H42" s="25"/>
      <c r="I42" s="25"/>
      <c r="J42" s="25"/>
      <c r="K42" s="25"/>
      <c r="L42" s="284"/>
      <c r="M42" s="25"/>
    </row>
    <row r="43" spans="2:13" ht="16" thickBot="1" x14ac:dyDescent="0.25">
      <c r="B43" s="407"/>
      <c r="C43" s="303" t="s">
        <v>209</v>
      </c>
      <c r="D43" s="304" t="s">
        <v>134</v>
      </c>
      <c r="E43" s="305"/>
      <c r="F43" s="306"/>
      <c r="G43" s="307"/>
      <c r="H43" s="307"/>
      <c r="I43" s="307"/>
      <c r="J43" s="307"/>
      <c r="K43" s="306"/>
      <c r="L43" s="308">
        <f>'Plant-Level Reporting (1)'!AC197+'Plant-Level Reporting (2)'!AC199+'Plant-Level Reporting (3)'!AC199</f>
        <v>0</v>
      </c>
      <c r="M43" s="25"/>
    </row>
    <row r="45" spans="2:13" x14ac:dyDescent="0.2">
      <c r="B45" s="227"/>
      <c r="C45" s="181"/>
      <c r="D45" s="25"/>
      <c r="E45" s="25"/>
      <c r="F45" s="25"/>
      <c r="G45" s="25"/>
      <c r="H45" s="25"/>
      <c r="I45" s="25"/>
      <c r="J45" s="25"/>
      <c r="K45" s="25"/>
      <c r="L45" s="25"/>
    </row>
    <row r="46" spans="2:13" ht="37" customHeight="1" thickBot="1" x14ac:dyDescent="0.25">
      <c r="B46" s="409" t="s">
        <v>332</v>
      </c>
      <c r="C46" s="409"/>
      <c r="D46" s="409"/>
      <c r="E46" s="409"/>
      <c r="F46" s="409"/>
      <c r="G46" s="379"/>
      <c r="H46" s="404" t="s">
        <v>296</v>
      </c>
      <c r="I46" s="404"/>
      <c r="J46" s="227" t="s">
        <v>297</v>
      </c>
      <c r="K46" s="404" t="s">
        <v>295</v>
      </c>
      <c r="L46" s="404"/>
    </row>
    <row r="47" spans="2:13" x14ac:dyDescent="0.2">
      <c r="B47" s="405" t="s">
        <v>317</v>
      </c>
      <c r="C47" s="357" t="s">
        <v>270</v>
      </c>
      <c r="D47" s="358">
        <f>'Plant-Level Reporting (1)'!D176+'Plant-Level Reporting (2)'!D178+'Plant-Level Reporting (3)'!D178</f>
        <v>0</v>
      </c>
      <c r="E47" s="377" t="s">
        <v>202</v>
      </c>
      <c r="F47" s="377" t="s">
        <v>203</v>
      </c>
      <c r="G47" s="377" t="s">
        <v>205</v>
      </c>
      <c r="H47" s="312" t="s">
        <v>288</v>
      </c>
      <c r="I47" s="359" t="s">
        <v>294</v>
      </c>
      <c r="J47" s="360" t="s">
        <v>202</v>
      </c>
      <c r="K47" s="360" t="s">
        <v>288</v>
      </c>
      <c r="L47" s="316" t="s">
        <v>294</v>
      </c>
    </row>
    <row r="48" spans="2:13" x14ac:dyDescent="0.2">
      <c r="B48" s="406"/>
      <c r="C48" s="217"/>
      <c r="D48" s="347"/>
      <c r="E48" s="348" t="s">
        <v>208</v>
      </c>
      <c r="F48" s="349"/>
      <c r="G48" s="349"/>
      <c r="H48" s="349"/>
      <c r="I48" s="349"/>
      <c r="J48" s="350" t="s">
        <v>206</v>
      </c>
      <c r="K48" s="351" t="s">
        <v>207</v>
      </c>
      <c r="L48" s="361"/>
    </row>
    <row r="49" spans="2:12" x14ac:dyDescent="0.2">
      <c r="B49" s="406"/>
      <c r="C49" s="345" t="s">
        <v>192</v>
      </c>
      <c r="D49" s="347" t="s">
        <v>204</v>
      </c>
      <c r="E49" s="352" t="e">
        <f>'Plant-Level Reporting (1)'!E178+'Plant-Level Reporting (2)'!E180+'Plant-Level Reporting (3)'!E180</f>
        <v>#DIV/0!</v>
      </c>
      <c r="F49" s="352" t="e">
        <f>'Plant-Level Reporting (1)'!F178+'Plant-Level Reporting (2)'!F180+'Plant-Level Reporting (3)'!F180</f>
        <v>#DIV/0!</v>
      </c>
      <c r="G49" s="352" t="e">
        <f>'Plant-Level Reporting (1)'!G178+'Plant-Level Reporting (2)'!G180+'Plant-Level Reporting (3)'!G180</f>
        <v>#DIV/0!</v>
      </c>
      <c r="H49" s="353" t="e">
        <f>'Plant-Level Reporting (1)'!H178+'Plant-Level Reporting (2)'!H180+'Plant-Level Reporting (3)'!H180</f>
        <v>#DIV/0!</v>
      </c>
      <c r="I49" s="354" t="e">
        <f>'Plant-Level Reporting (1)'!I178+'Plant-Level Reporting (2)'!I180+'Plant-Level Reporting (3)'!I180</f>
        <v>#DIV/0!</v>
      </c>
      <c r="J49" s="355" t="e">
        <f>'Plant-Level Reporting (1)'!J178+'Plant-Level Reporting (2)'!J180+'Plant-Level Reporting (3)'!J180</f>
        <v>#DIV/0!</v>
      </c>
      <c r="K49" s="356" t="e">
        <f>'Plant-Level Reporting (1)'!K178+'Plant-Level Reporting (2)'!K180+'Plant-Level Reporting (3)'!K180</f>
        <v>#DIV/0!</v>
      </c>
      <c r="L49" s="362" t="e">
        <f>'Plant-Level Reporting (1)'!L178+'Plant-Level Reporting (2)'!L180+'Plant-Level Reporting (3)'!L180</f>
        <v>#DIV/0!</v>
      </c>
    </row>
    <row r="50" spans="2:12" x14ac:dyDescent="0.2">
      <c r="B50" s="406"/>
      <c r="C50" s="217"/>
      <c r="D50" s="217"/>
      <c r="E50" s="321"/>
      <c r="F50" s="321"/>
      <c r="G50" s="321"/>
      <c r="H50" s="321"/>
      <c r="I50" s="321"/>
      <c r="J50" s="321"/>
      <c r="K50" s="321"/>
      <c r="L50" s="322"/>
    </row>
    <row r="51" spans="2:12" x14ac:dyDescent="0.2">
      <c r="B51" s="406"/>
      <c r="C51" s="347" t="s">
        <v>210</v>
      </c>
      <c r="D51" s="347" t="s">
        <v>204</v>
      </c>
      <c r="E51" s="352" t="e">
        <f>'Plant-Level Reporting (1)'!E180+'Plant-Level Reporting (2)'!E182+'Plant-Level Reporting (3)'!E182</f>
        <v>#DIV/0!</v>
      </c>
      <c r="F51" s="352" t="e">
        <f>'Plant-Level Reporting (1)'!F180+'Plant-Level Reporting (2)'!F182+'Plant-Level Reporting (3)'!F182</f>
        <v>#DIV/0!</v>
      </c>
      <c r="G51" s="352" t="e">
        <f>'Plant-Level Reporting (1)'!G180+'Plant-Level Reporting (2)'!G182+'Plant-Level Reporting (3)'!G182</f>
        <v>#DIV/0!</v>
      </c>
      <c r="H51" s="352" t="e">
        <f>'Plant-Level Reporting (1)'!H180+'Plant-Level Reporting (2)'!H182+'Plant-Level Reporting (3)'!H182</f>
        <v>#DIV/0!</v>
      </c>
      <c r="I51" s="352" t="e">
        <f>'Plant-Level Reporting (1)'!I180+'Plant-Level Reporting (2)'!I182+'Plant-Level Reporting (3)'!I182</f>
        <v>#DIV/0!</v>
      </c>
      <c r="J51" s="346" t="e">
        <f>'Plant-Level Reporting (1)'!J180+'Plant-Level Reporting (2)'!J182+'Plant-Level Reporting (3)'!J182</f>
        <v>#DIV/0!</v>
      </c>
      <c r="K51" s="346" t="e">
        <f>'Plant-Level Reporting (1)'!K180+'Plant-Level Reporting (2)'!K182+'Plant-Level Reporting (3)'!K182</f>
        <v>#DIV/0!</v>
      </c>
      <c r="L51" s="363" t="e">
        <f>'Plant-Level Reporting (1)'!L180+'Plant-Level Reporting (2)'!L182+'Plant-Level Reporting (3)'!L182</f>
        <v>#DIV/0!</v>
      </c>
    </row>
    <row r="52" spans="2:12" x14ac:dyDescent="0.2">
      <c r="B52" s="406"/>
      <c r="C52" s="347" t="s">
        <v>197</v>
      </c>
      <c r="D52" s="347" t="s">
        <v>204</v>
      </c>
      <c r="E52" s="352" t="e">
        <f>'Plant-Level Reporting (1)'!E181+'Plant-Level Reporting (2)'!E183+'Plant-Level Reporting (3)'!E183</f>
        <v>#DIV/0!</v>
      </c>
      <c r="F52" s="352" t="e">
        <f>'Plant-Level Reporting (1)'!F181+'Plant-Level Reporting (2)'!F183+'Plant-Level Reporting (3)'!F183</f>
        <v>#DIV/0!</v>
      </c>
      <c r="G52" s="352" t="e">
        <f>'Plant-Level Reporting (1)'!G181+'Plant-Level Reporting (2)'!G183+'Plant-Level Reporting (3)'!G183</f>
        <v>#DIV/0!</v>
      </c>
      <c r="H52" s="352" t="e">
        <f>'Plant-Level Reporting (1)'!H181+'Plant-Level Reporting (2)'!H183+'Plant-Level Reporting (3)'!H183</f>
        <v>#DIV/0!</v>
      </c>
      <c r="I52" s="352" t="e">
        <f>'Plant-Level Reporting (1)'!I181+'Plant-Level Reporting (2)'!I183+'Plant-Level Reporting (3)'!I183</f>
        <v>#DIV/0!</v>
      </c>
      <c r="J52" s="346" t="e">
        <f>'Plant-Level Reporting (1)'!J181+'Plant-Level Reporting (2)'!J183+'Plant-Level Reporting (3)'!J183</f>
        <v>#DIV/0!</v>
      </c>
      <c r="K52" s="346" t="e">
        <f>'Plant-Level Reporting (1)'!K181+'Plant-Level Reporting (2)'!K183+'Plant-Level Reporting (3)'!K183</f>
        <v>#DIV/0!</v>
      </c>
      <c r="L52" s="363" t="e">
        <f>'Plant-Level Reporting (1)'!L181+'Plant-Level Reporting (2)'!L183+'Plant-Level Reporting (3)'!L183</f>
        <v>#DIV/0!</v>
      </c>
    </row>
    <row r="53" spans="2:12" x14ac:dyDescent="0.2">
      <c r="B53" s="406"/>
      <c r="C53" s="347" t="s">
        <v>200</v>
      </c>
      <c r="D53" s="347" t="s">
        <v>204</v>
      </c>
      <c r="E53" s="352" t="e">
        <f>'Plant-Level Reporting (1)'!E182+'Plant-Level Reporting (2)'!E184+'Plant-Level Reporting (3)'!E184</f>
        <v>#DIV/0!</v>
      </c>
      <c r="F53" s="352" t="e">
        <f>'Plant-Level Reporting (1)'!F182+'Plant-Level Reporting (2)'!F184+'Plant-Level Reporting (3)'!F184</f>
        <v>#DIV/0!</v>
      </c>
      <c r="G53" s="352" t="e">
        <f>'Plant-Level Reporting (1)'!G182+'Plant-Level Reporting (2)'!G184+'Plant-Level Reporting (3)'!G184</f>
        <v>#DIV/0!</v>
      </c>
      <c r="H53" s="352" t="e">
        <f>'Plant-Level Reporting (1)'!H182+'Plant-Level Reporting (2)'!H184+'Plant-Level Reporting (3)'!H184</f>
        <v>#DIV/0!</v>
      </c>
      <c r="I53" s="352" t="e">
        <f>'Plant-Level Reporting (1)'!I182+'Plant-Level Reporting (2)'!I184+'Plant-Level Reporting (3)'!I184</f>
        <v>#DIV/0!</v>
      </c>
      <c r="J53" s="346" t="e">
        <f>'Plant-Level Reporting (1)'!J182+'Plant-Level Reporting (2)'!J184+'Plant-Level Reporting (3)'!J184</f>
        <v>#DIV/0!</v>
      </c>
      <c r="K53" s="346" t="e">
        <f>'Plant-Level Reporting (1)'!K182+'Plant-Level Reporting (2)'!K184+'Plant-Level Reporting (3)'!K184</f>
        <v>#DIV/0!</v>
      </c>
      <c r="L53" s="363" t="e">
        <f>'Plant-Level Reporting (1)'!L182+'Plant-Level Reporting (2)'!L184+'Plant-Level Reporting (3)'!L184</f>
        <v>#DIV/0!</v>
      </c>
    </row>
    <row r="54" spans="2:12" x14ac:dyDescent="0.2">
      <c r="B54" s="406"/>
      <c r="C54" s="347" t="s">
        <v>195</v>
      </c>
      <c r="D54" s="347" t="s">
        <v>204</v>
      </c>
      <c r="E54" s="352" t="e">
        <f>'Plant-Level Reporting (1)'!E183+'Plant-Level Reporting (2)'!E185+'Plant-Level Reporting (3)'!E185</f>
        <v>#DIV/0!</v>
      </c>
      <c r="F54" s="352" t="e">
        <f>'Plant-Level Reporting (1)'!F183+'Plant-Level Reporting (2)'!F185+'Plant-Level Reporting (3)'!F185</f>
        <v>#DIV/0!</v>
      </c>
      <c r="G54" s="352" t="e">
        <f>'Plant-Level Reporting (1)'!G183+'Plant-Level Reporting (2)'!G185+'Plant-Level Reporting (3)'!G185</f>
        <v>#DIV/0!</v>
      </c>
      <c r="H54" s="352" t="e">
        <f>'Plant-Level Reporting (1)'!H183+'Plant-Level Reporting (2)'!H185+'Plant-Level Reporting (3)'!H185</f>
        <v>#DIV/0!</v>
      </c>
      <c r="I54" s="352" t="e">
        <f>'Plant-Level Reporting (1)'!I183+'Plant-Level Reporting (2)'!I185+'Plant-Level Reporting (3)'!I185</f>
        <v>#DIV/0!</v>
      </c>
      <c r="J54" s="346" t="e">
        <f>'Plant-Level Reporting (1)'!J183+'Plant-Level Reporting (2)'!J185+'Plant-Level Reporting (3)'!J185</f>
        <v>#DIV/0!</v>
      </c>
      <c r="K54" s="346" t="e">
        <f>'Plant-Level Reporting (1)'!K183+'Plant-Level Reporting (2)'!K185+'Plant-Level Reporting (3)'!K185</f>
        <v>#DIV/0!</v>
      </c>
      <c r="L54" s="363" t="e">
        <f>'Plant-Level Reporting (1)'!L183+'Plant-Level Reporting (2)'!L185+'Plant-Level Reporting (3)'!L185</f>
        <v>#DIV/0!</v>
      </c>
    </row>
    <row r="55" spans="2:12" x14ac:dyDescent="0.2">
      <c r="B55" s="406"/>
      <c r="C55" s="347" t="s">
        <v>194</v>
      </c>
      <c r="D55" s="347" t="s">
        <v>204</v>
      </c>
      <c r="E55" s="352" t="e">
        <f>'Plant-Level Reporting (1)'!E184+'Plant-Level Reporting (2)'!E186+'Plant-Level Reporting (3)'!E186</f>
        <v>#DIV/0!</v>
      </c>
      <c r="F55" s="352" t="e">
        <f>'Plant-Level Reporting (1)'!F184+'Plant-Level Reporting (2)'!F186+'Plant-Level Reporting (3)'!F186</f>
        <v>#DIV/0!</v>
      </c>
      <c r="G55" s="352" t="e">
        <f>'Plant-Level Reporting (1)'!G184+'Plant-Level Reporting (2)'!G186+'Plant-Level Reporting (3)'!G186</f>
        <v>#DIV/0!</v>
      </c>
      <c r="H55" s="352" t="e">
        <f>'Plant-Level Reporting (1)'!H184+'Plant-Level Reporting (2)'!H186+'Plant-Level Reporting (3)'!H186</f>
        <v>#DIV/0!</v>
      </c>
      <c r="I55" s="352" t="e">
        <f>'Plant-Level Reporting (1)'!I184+'Plant-Level Reporting (2)'!I186+'Plant-Level Reporting (3)'!I186</f>
        <v>#DIV/0!</v>
      </c>
      <c r="J55" s="346" t="e">
        <f>'Plant-Level Reporting (1)'!J184+'Plant-Level Reporting (2)'!J186+'Plant-Level Reporting (3)'!J186</f>
        <v>#DIV/0!</v>
      </c>
      <c r="K55" s="346" t="e">
        <f>'Plant-Level Reporting (1)'!K184+'Plant-Level Reporting (2)'!K186+'Plant-Level Reporting (3)'!K186</f>
        <v>#DIV/0!</v>
      </c>
      <c r="L55" s="363" t="e">
        <f>'Plant-Level Reporting (1)'!L184+'Plant-Level Reporting (2)'!L186+'Plant-Level Reporting (3)'!L186</f>
        <v>#DIV/0!</v>
      </c>
    </row>
    <row r="56" spans="2:12" x14ac:dyDescent="0.2">
      <c r="B56" s="406"/>
      <c r="C56" s="347" t="s">
        <v>308</v>
      </c>
      <c r="D56" s="347" t="s">
        <v>204</v>
      </c>
      <c r="E56" s="352" t="e">
        <f>'Plant-Level Reporting (1)'!E185+'Plant-Level Reporting (2)'!E187+'Plant-Level Reporting (3)'!E187</f>
        <v>#DIV/0!</v>
      </c>
      <c r="F56" s="352" t="e">
        <f>'Plant-Level Reporting (1)'!F185+'Plant-Level Reporting (2)'!F187+'Plant-Level Reporting (3)'!F187</f>
        <v>#DIV/0!</v>
      </c>
      <c r="G56" s="352" t="e">
        <f>'Plant-Level Reporting (1)'!G185+'Plant-Level Reporting (2)'!G187+'Plant-Level Reporting (3)'!G187</f>
        <v>#DIV/0!</v>
      </c>
      <c r="H56" s="352" t="e">
        <f>'Plant-Level Reporting (1)'!H185+'Plant-Level Reporting (2)'!H187+'Plant-Level Reporting (3)'!H187</f>
        <v>#DIV/0!</v>
      </c>
      <c r="I56" s="352" t="e">
        <f>'Plant-Level Reporting (1)'!I185+'Plant-Level Reporting (2)'!I187+'Plant-Level Reporting (3)'!I187</f>
        <v>#DIV/0!</v>
      </c>
      <c r="J56" s="346" t="e">
        <f>'Plant-Level Reporting (1)'!J185+'Plant-Level Reporting (2)'!J187+'Plant-Level Reporting (3)'!J187</f>
        <v>#DIV/0!</v>
      </c>
      <c r="K56" s="346" t="e">
        <f>'Plant-Level Reporting (1)'!K185+'Plant-Level Reporting (2)'!K187+'Plant-Level Reporting (3)'!K187</f>
        <v>#DIV/0!</v>
      </c>
      <c r="L56" s="363" t="e">
        <f>'Plant-Level Reporting (1)'!L185+'Plant-Level Reporting (2)'!L187+'Plant-Level Reporting (3)'!L187</f>
        <v>#DIV/0!</v>
      </c>
    </row>
    <row r="57" spans="2:12" x14ac:dyDescent="0.2">
      <c r="B57" s="406"/>
      <c r="C57" s="347" t="s">
        <v>196</v>
      </c>
      <c r="D57" s="347" t="s">
        <v>204</v>
      </c>
      <c r="E57" s="352" t="e">
        <f>'Plant-Level Reporting (1)'!E186+'Plant-Level Reporting (2)'!E188+'Plant-Level Reporting (3)'!E188</f>
        <v>#DIV/0!</v>
      </c>
      <c r="F57" s="352" t="e">
        <f>'Plant-Level Reporting (1)'!F186+'Plant-Level Reporting (2)'!F188+'Plant-Level Reporting (3)'!F188</f>
        <v>#DIV/0!</v>
      </c>
      <c r="G57" s="352" t="e">
        <f>'Plant-Level Reporting (1)'!G186+'Plant-Level Reporting (2)'!G188+'Plant-Level Reporting (3)'!G188</f>
        <v>#DIV/0!</v>
      </c>
      <c r="H57" s="352" t="e">
        <f>'Plant-Level Reporting (1)'!H186+'Plant-Level Reporting (2)'!H188+'Plant-Level Reporting (3)'!H188</f>
        <v>#DIV/0!</v>
      </c>
      <c r="I57" s="352" t="e">
        <f>'Plant-Level Reporting (1)'!I186+'Plant-Level Reporting (2)'!I188+'Plant-Level Reporting (3)'!I188</f>
        <v>#DIV/0!</v>
      </c>
      <c r="J57" s="346" t="e">
        <f>'Plant-Level Reporting (1)'!J186+'Plant-Level Reporting (2)'!J188+'Plant-Level Reporting (3)'!J188</f>
        <v>#DIV/0!</v>
      </c>
      <c r="K57" s="346" t="e">
        <f>'Plant-Level Reporting (1)'!K186+'Plant-Level Reporting (2)'!K188+'Plant-Level Reporting (3)'!K188</f>
        <v>#DIV/0!</v>
      </c>
      <c r="L57" s="363" t="e">
        <f>'Plant-Level Reporting (1)'!L186+'Plant-Level Reporting (2)'!L188+'Plant-Level Reporting (3)'!L188</f>
        <v>#DIV/0!</v>
      </c>
    </row>
    <row r="58" spans="2:12" x14ac:dyDescent="0.2">
      <c r="B58" s="406"/>
      <c r="C58" s="347" t="s">
        <v>48</v>
      </c>
      <c r="D58" s="347" t="s">
        <v>204</v>
      </c>
      <c r="E58" s="352" t="e">
        <f>'Plant-Level Reporting (1)'!E187+'Plant-Level Reporting (2)'!E189+'Plant-Level Reporting (3)'!E189</f>
        <v>#DIV/0!</v>
      </c>
      <c r="F58" s="352" t="e">
        <f>'Plant-Level Reporting (1)'!F187+'Plant-Level Reporting (2)'!F189+'Plant-Level Reporting (3)'!F189</f>
        <v>#DIV/0!</v>
      </c>
      <c r="G58" s="352" t="e">
        <f>'Plant-Level Reporting (1)'!G187+'Plant-Level Reporting (2)'!G189+'Plant-Level Reporting (3)'!G189</f>
        <v>#DIV/0!</v>
      </c>
      <c r="H58" s="352" t="e">
        <f>'Plant-Level Reporting (1)'!H187+'Plant-Level Reporting (2)'!H189+'Plant-Level Reporting (3)'!H189</f>
        <v>#DIV/0!</v>
      </c>
      <c r="I58" s="352" t="e">
        <f>'Plant-Level Reporting (1)'!I187+'Plant-Level Reporting (2)'!I189+'Plant-Level Reporting (3)'!I189</f>
        <v>#DIV/0!</v>
      </c>
      <c r="J58" s="346" t="e">
        <f>'Plant-Level Reporting (1)'!J187+'Plant-Level Reporting (2)'!J189+'Plant-Level Reporting (3)'!J189</f>
        <v>#DIV/0!</v>
      </c>
      <c r="K58" s="346" t="e">
        <f>'Plant-Level Reporting (1)'!K187+'Plant-Level Reporting (2)'!K189+'Plant-Level Reporting (3)'!K189</f>
        <v>#DIV/0!</v>
      </c>
      <c r="L58" s="363" t="e">
        <f>'Plant-Level Reporting (1)'!L187+'Plant-Level Reporting (2)'!L189+'Plant-Level Reporting (3)'!L189</f>
        <v>#DIV/0!</v>
      </c>
    </row>
    <row r="59" spans="2:12" x14ac:dyDescent="0.2">
      <c r="B59" s="406"/>
      <c r="C59" s="347" t="s">
        <v>198</v>
      </c>
      <c r="D59" s="347" t="s">
        <v>204</v>
      </c>
      <c r="E59" s="352" t="e">
        <f>'Plant-Level Reporting (1)'!E188+'Plant-Level Reporting (2)'!E190+'Plant-Level Reporting (3)'!E190</f>
        <v>#DIV/0!</v>
      </c>
      <c r="F59" s="352" t="e">
        <f>'Plant-Level Reporting (1)'!F188+'Plant-Level Reporting (2)'!F190+'Plant-Level Reporting (3)'!F190</f>
        <v>#DIV/0!</v>
      </c>
      <c r="G59" s="352" t="e">
        <f>'Plant-Level Reporting (1)'!G188+'Plant-Level Reporting (2)'!G190+'Plant-Level Reporting (3)'!G190</f>
        <v>#DIV/0!</v>
      </c>
      <c r="H59" s="352" t="e">
        <f>'Plant-Level Reporting (1)'!H188+'Plant-Level Reporting (2)'!H190+'Plant-Level Reporting (3)'!H190</f>
        <v>#DIV/0!</v>
      </c>
      <c r="I59" s="352" t="e">
        <f>'Plant-Level Reporting (1)'!I188+'Plant-Level Reporting (2)'!I190+'Plant-Level Reporting (3)'!I190</f>
        <v>#DIV/0!</v>
      </c>
      <c r="J59" s="346" t="e">
        <f>'Plant-Level Reporting (1)'!J188+'Plant-Level Reporting (2)'!J190+'Plant-Level Reporting (3)'!J190</f>
        <v>#DIV/0!</v>
      </c>
      <c r="K59" s="346" t="e">
        <f>'Plant-Level Reporting (1)'!K188+'Plant-Level Reporting (2)'!K190+'Plant-Level Reporting (3)'!K190</f>
        <v>#DIV/0!</v>
      </c>
      <c r="L59" s="363" t="e">
        <f>'Plant-Level Reporting (1)'!L188+'Plant-Level Reporting (2)'!L190+'Plant-Level Reporting (3)'!L190</f>
        <v>#DIV/0!</v>
      </c>
    </row>
    <row r="60" spans="2:12" x14ac:dyDescent="0.2">
      <c r="B60" s="406"/>
      <c r="C60" s="347" t="s">
        <v>199</v>
      </c>
      <c r="D60" s="347" t="s">
        <v>204</v>
      </c>
      <c r="E60" s="352" t="e">
        <f>'Plant-Level Reporting (1)'!E189+'Plant-Level Reporting (2)'!E191+'Plant-Level Reporting (3)'!E191</f>
        <v>#DIV/0!</v>
      </c>
      <c r="F60" s="352" t="e">
        <f>'Plant-Level Reporting (1)'!F189+'Plant-Level Reporting (2)'!F191+'Plant-Level Reporting (3)'!F191</f>
        <v>#DIV/0!</v>
      </c>
      <c r="G60" s="352" t="e">
        <f>'Plant-Level Reporting (1)'!G189+'Plant-Level Reporting (2)'!G191+'Plant-Level Reporting (3)'!G191</f>
        <v>#DIV/0!</v>
      </c>
      <c r="H60" s="352" t="e">
        <f>'Plant-Level Reporting (1)'!H189+'Plant-Level Reporting (2)'!H191+'Plant-Level Reporting (3)'!H191</f>
        <v>#DIV/0!</v>
      </c>
      <c r="I60" s="352" t="e">
        <f>'Plant-Level Reporting (1)'!I189+'Plant-Level Reporting (2)'!I191+'Plant-Level Reporting (3)'!I191</f>
        <v>#DIV/0!</v>
      </c>
      <c r="J60" s="346" t="e">
        <f>'Plant-Level Reporting (1)'!J189+'Plant-Level Reporting (2)'!J191+'Plant-Level Reporting (3)'!J191</f>
        <v>#DIV/0!</v>
      </c>
      <c r="K60" s="346" t="e">
        <f>'Plant-Level Reporting (1)'!K189+'Plant-Level Reporting (2)'!K191+'Plant-Level Reporting (3)'!K191</f>
        <v>#DIV/0!</v>
      </c>
      <c r="L60" s="363" t="e">
        <f>'Plant-Level Reporting (1)'!L189+'Plant-Level Reporting (2)'!L191+'Plant-Level Reporting (3)'!L191</f>
        <v>#DIV/0!</v>
      </c>
    </row>
    <row r="61" spans="2:12" x14ac:dyDescent="0.2">
      <c r="B61" s="406"/>
      <c r="C61" s="347" t="s">
        <v>131</v>
      </c>
      <c r="D61" s="347" t="s">
        <v>204</v>
      </c>
      <c r="E61" s="352" t="e">
        <f>'Plant-Level Reporting (1)'!E190+'Plant-Level Reporting (2)'!E192+'Plant-Level Reporting (3)'!E192</f>
        <v>#DIV/0!</v>
      </c>
      <c r="F61" s="352" t="e">
        <f>'Plant-Level Reporting (1)'!F190+'Plant-Level Reporting (2)'!F192+'Plant-Level Reporting (3)'!F192</f>
        <v>#DIV/0!</v>
      </c>
      <c r="G61" s="352" t="e">
        <f>'Plant-Level Reporting (1)'!G190+'Plant-Level Reporting (2)'!G192+'Plant-Level Reporting (3)'!G192</f>
        <v>#DIV/0!</v>
      </c>
      <c r="H61" s="352" t="e">
        <f>'Plant-Level Reporting (1)'!H190+'Plant-Level Reporting (2)'!H192+'Plant-Level Reporting (3)'!H192</f>
        <v>#DIV/0!</v>
      </c>
      <c r="I61" s="352" t="e">
        <f>'Plant-Level Reporting (1)'!I190+'Plant-Level Reporting (2)'!I192+'Plant-Level Reporting (3)'!I192</f>
        <v>#DIV/0!</v>
      </c>
      <c r="J61" s="346" t="e">
        <f>'Plant-Level Reporting (1)'!J190+'Plant-Level Reporting (2)'!J192+'Plant-Level Reporting (3)'!J192</f>
        <v>#DIV/0!</v>
      </c>
      <c r="K61" s="346" t="e">
        <f>'Plant-Level Reporting (1)'!K190+'Plant-Level Reporting (2)'!K192+'Plant-Level Reporting (3)'!K192</f>
        <v>#DIV/0!</v>
      </c>
      <c r="L61" s="363" t="e">
        <f>'Plant-Level Reporting (1)'!L190+'Plant-Level Reporting (2)'!L192+'Plant-Level Reporting (3)'!L192</f>
        <v>#DIV/0!</v>
      </c>
    </row>
    <row r="62" spans="2:12" x14ac:dyDescent="0.2">
      <c r="B62" s="406"/>
      <c r="C62" s="347" t="s">
        <v>193</v>
      </c>
      <c r="D62" s="347" t="s">
        <v>204</v>
      </c>
      <c r="E62" s="352" t="e">
        <f>'Plant-Level Reporting (1)'!E191+'Plant-Level Reporting (2)'!E193+'Plant-Level Reporting (3)'!E193</f>
        <v>#DIV/0!</v>
      </c>
      <c r="F62" s="352" t="e">
        <f>'Plant-Level Reporting (1)'!F191+'Plant-Level Reporting (2)'!F193+'Plant-Level Reporting (3)'!F193</f>
        <v>#DIV/0!</v>
      </c>
      <c r="G62" s="352" t="e">
        <f>'Plant-Level Reporting (1)'!G191+'Plant-Level Reporting (2)'!G193+'Plant-Level Reporting (3)'!G193</f>
        <v>#DIV/0!</v>
      </c>
      <c r="H62" s="352" t="e">
        <f>'Plant-Level Reporting (1)'!H191+'Plant-Level Reporting (2)'!H193+'Plant-Level Reporting (3)'!H193</f>
        <v>#DIV/0!</v>
      </c>
      <c r="I62" s="352" t="e">
        <f>'Plant-Level Reporting (1)'!I191+'Plant-Level Reporting (2)'!I193+'Plant-Level Reporting (3)'!I193</f>
        <v>#DIV/0!</v>
      </c>
      <c r="J62" s="346" t="e">
        <f>'Plant-Level Reporting (1)'!J191+'Plant-Level Reporting (2)'!J193+'Plant-Level Reporting (3)'!J193</f>
        <v>#DIV/0!</v>
      </c>
      <c r="K62" s="346" t="e">
        <f>'Plant-Level Reporting (1)'!K191+'Plant-Level Reporting (2)'!K193+'Plant-Level Reporting (3)'!K193</f>
        <v>#DIV/0!</v>
      </c>
      <c r="L62" s="363" t="e">
        <f>'Plant-Level Reporting (1)'!L191+'Plant-Level Reporting (2)'!L193+'Plant-Level Reporting (3)'!L193</f>
        <v>#DIV/0!</v>
      </c>
    </row>
    <row r="63" spans="2:12" x14ac:dyDescent="0.2">
      <c r="B63" s="406"/>
      <c r="C63" s="347" t="s">
        <v>107</v>
      </c>
      <c r="D63" s="347" t="s">
        <v>204</v>
      </c>
      <c r="E63" s="352" t="e">
        <f>'Plant-Level Reporting (1)'!E192+'Plant-Level Reporting (2)'!E194+'Plant-Level Reporting (3)'!E194</f>
        <v>#DIV/0!</v>
      </c>
      <c r="F63" s="352" t="e">
        <f>'Plant-Level Reporting (1)'!F192+'Plant-Level Reporting (2)'!F194+'Plant-Level Reporting (3)'!F194</f>
        <v>#DIV/0!</v>
      </c>
      <c r="G63" s="352" t="e">
        <f>'Plant-Level Reporting (1)'!G192+'Plant-Level Reporting (2)'!G194+'Plant-Level Reporting (3)'!G194</f>
        <v>#DIV/0!</v>
      </c>
      <c r="H63" s="352" t="e">
        <f>'Plant-Level Reporting (1)'!H192+'Plant-Level Reporting (2)'!H194+'Plant-Level Reporting (3)'!H194</f>
        <v>#DIV/0!</v>
      </c>
      <c r="I63" s="352" t="e">
        <f>'Plant-Level Reporting (1)'!I192+'Plant-Level Reporting (2)'!I194+'Plant-Level Reporting (3)'!I194</f>
        <v>#DIV/0!</v>
      </c>
      <c r="J63" s="346" t="e">
        <f>'Plant-Level Reporting (1)'!J192+'Plant-Level Reporting (2)'!J194+'Plant-Level Reporting (3)'!J194</f>
        <v>#DIV/0!</v>
      </c>
      <c r="K63" s="346" t="e">
        <f>'Plant-Level Reporting (1)'!K192+'Plant-Level Reporting (2)'!K194+'Plant-Level Reporting (3)'!K194</f>
        <v>#DIV/0!</v>
      </c>
      <c r="L63" s="363" t="e">
        <f>'Plant-Level Reporting (1)'!L192+'Plant-Level Reporting (2)'!L194+'Plant-Level Reporting (3)'!L194</f>
        <v>#DIV/0!</v>
      </c>
    </row>
    <row r="64" spans="2:12" x14ac:dyDescent="0.2">
      <c r="B64" s="406"/>
      <c r="C64" s="347" t="s">
        <v>132</v>
      </c>
      <c r="D64" s="347" t="s">
        <v>204</v>
      </c>
      <c r="E64" s="352" t="e">
        <f>'Plant-Level Reporting (1)'!E193+'Plant-Level Reporting (2)'!E195+'Plant-Level Reporting (3)'!E195</f>
        <v>#DIV/0!</v>
      </c>
      <c r="F64" s="352" t="e">
        <f>'Plant-Level Reporting (1)'!F193+'Plant-Level Reporting (2)'!F195+'Plant-Level Reporting (3)'!F195</f>
        <v>#DIV/0!</v>
      </c>
      <c r="G64" s="352" t="e">
        <f>'Plant-Level Reporting (1)'!G193+'Plant-Level Reporting (2)'!G195+'Plant-Level Reporting (3)'!G195</f>
        <v>#DIV/0!</v>
      </c>
      <c r="H64" s="352" t="e">
        <f>'Plant-Level Reporting (1)'!H193+'Plant-Level Reporting (2)'!H195+'Plant-Level Reporting (3)'!H195</f>
        <v>#DIV/0!</v>
      </c>
      <c r="I64" s="352" t="e">
        <f>'Plant-Level Reporting (1)'!I193+'Plant-Level Reporting (2)'!I195+'Plant-Level Reporting (3)'!I195</f>
        <v>#DIV/0!</v>
      </c>
      <c r="J64" s="346" t="e">
        <f>'Plant-Level Reporting (1)'!J193+'Plant-Level Reporting (2)'!J195+'Plant-Level Reporting (3)'!J195</f>
        <v>#DIV/0!</v>
      </c>
      <c r="K64" s="346" t="e">
        <f>'Plant-Level Reporting (1)'!K193+'Plant-Level Reporting (2)'!K195+'Plant-Level Reporting (3)'!K195</f>
        <v>#DIV/0!</v>
      </c>
      <c r="L64" s="363" t="e">
        <f>'Plant-Level Reporting (1)'!L193+'Plant-Level Reporting (2)'!L195+'Plant-Level Reporting (3)'!L195</f>
        <v>#DIV/0!</v>
      </c>
    </row>
    <row r="65" spans="2:12" x14ac:dyDescent="0.2">
      <c r="B65" s="406"/>
      <c r="C65" s="347" t="s">
        <v>130</v>
      </c>
      <c r="D65" s="347" t="s">
        <v>204</v>
      </c>
      <c r="E65" s="352" t="e">
        <f>'Plant-Level Reporting (1)'!E194+'Plant-Level Reporting (2)'!E196+'Plant-Level Reporting (3)'!E196</f>
        <v>#DIV/0!</v>
      </c>
      <c r="F65" s="352" t="e">
        <f>'Plant-Level Reporting (1)'!F194+'Plant-Level Reporting (2)'!F196+'Plant-Level Reporting (3)'!F196</f>
        <v>#DIV/0!</v>
      </c>
      <c r="G65" s="352" t="e">
        <f>'Plant-Level Reporting (1)'!G194+'Plant-Level Reporting (2)'!G196+'Plant-Level Reporting (3)'!G196</f>
        <v>#DIV/0!</v>
      </c>
      <c r="H65" s="352" t="e">
        <f>'Plant-Level Reporting (1)'!H194+'Plant-Level Reporting (2)'!H196+'Plant-Level Reporting (3)'!H196</f>
        <v>#DIV/0!</v>
      </c>
      <c r="I65" s="352" t="e">
        <f>'Plant-Level Reporting (1)'!I194+'Plant-Level Reporting (2)'!I196+'Plant-Level Reporting (3)'!I196</f>
        <v>#DIV/0!</v>
      </c>
      <c r="J65" s="346" t="e">
        <f>'Plant-Level Reporting (1)'!J194+'Plant-Level Reporting (2)'!J196+'Plant-Level Reporting (3)'!J196</f>
        <v>#DIV/0!</v>
      </c>
      <c r="K65" s="346" t="e">
        <f>'Plant-Level Reporting (1)'!K194+'Plant-Level Reporting (2)'!K196+'Plant-Level Reporting (3)'!K196</f>
        <v>#DIV/0!</v>
      </c>
      <c r="L65" s="363" t="e">
        <f>'Plant-Level Reporting (1)'!L194+'Plant-Level Reporting (2)'!L196+'Plant-Level Reporting (3)'!L196</f>
        <v>#DIV/0!</v>
      </c>
    </row>
    <row r="66" spans="2:12" x14ac:dyDescent="0.2">
      <c r="B66" s="406"/>
      <c r="C66" s="347" t="s">
        <v>201</v>
      </c>
      <c r="D66" s="347" t="s">
        <v>204</v>
      </c>
      <c r="E66" s="352" t="e">
        <f>'Plant-Level Reporting (1)'!E195+'Plant-Level Reporting (2)'!E197+'Plant-Level Reporting (3)'!E197</f>
        <v>#DIV/0!</v>
      </c>
      <c r="F66" s="352" t="e">
        <f>'Plant-Level Reporting (1)'!F195+'Plant-Level Reporting (2)'!F197+'Plant-Level Reporting (3)'!F197</f>
        <v>#DIV/0!</v>
      </c>
      <c r="G66" s="352" t="e">
        <f>'Plant-Level Reporting (1)'!G195+'Plant-Level Reporting (2)'!G197+'Plant-Level Reporting (3)'!G197</f>
        <v>#DIV/0!</v>
      </c>
      <c r="H66" s="352" t="e">
        <f>'Plant-Level Reporting (1)'!H195+'Plant-Level Reporting (2)'!H197+'Plant-Level Reporting (3)'!H197</f>
        <v>#DIV/0!</v>
      </c>
      <c r="I66" s="352" t="e">
        <f>'Plant-Level Reporting (1)'!I195+'Plant-Level Reporting (2)'!I197+'Plant-Level Reporting (3)'!I197</f>
        <v>#DIV/0!</v>
      </c>
      <c r="J66" s="346" t="e">
        <f>'Plant-Level Reporting (1)'!J195+'Plant-Level Reporting (2)'!J197+'Plant-Level Reporting (3)'!J197</f>
        <v>#DIV/0!</v>
      </c>
      <c r="K66" s="346" t="e">
        <f>'Plant-Level Reporting (1)'!K195+'Plant-Level Reporting (2)'!K197+'Plant-Level Reporting (3)'!K197</f>
        <v>#DIV/0!</v>
      </c>
      <c r="L66" s="363" t="e">
        <f>'Plant-Level Reporting (1)'!L195+'Plant-Level Reporting (2)'!L197+'Plant-Level Reporting (3)'!L197</f>
        <v>#DIV/0!</v>
      </c>
    </row>
    <row r="67" spans="2:12" x14ac:dyDescent="0.2">
      <c r="B67" s="406"/>
      <c r="C67" s="25"/>
      <c r="D67" s="25"/>
      <c r="E67" s="25"/>
      <c r="F67" s="25"/>
      <c r="G67" s="25"/>
      <c r="H67" s="25"/>
      <c r="I67" s="25"/>
      <c r="J67" s="25"/>
      <c r="K67" s="25"/>
      <c r="L67" s="284"/>
    </row>
    <row r="68" spans="2:12" ht="16" thickBot="1" x14ac:dyDescent="0.25">
      <c r="B68" s="407"/>
      <c r="C68" s="364" t="s">
        <v>209</v>
      </c>
      <c r="D68" s="364" t="s">
        <v>204</v>
      </c>
      <c r="E68" s="365" t="e">
        <f>'Plant-Level Reporting (1)'!E197+'Plant-Level Reporting (2)'!E199+'Plant-Level Reporting (3)'!E199</f>
        <v>#DIV/0!</v>
      </c>
      <c r="F68" s="365" t="e">
        <f>'Plant-Level Reporting (1)'!F197+'Plant-Level Reporting (2)'!F199+'Plant-Level Reporting (3)'!F199</f>
        <v>#DIV/0!</v>
      </c>
      <c r="G68" s="365" t="e">
        <f>'Plant-Level Reporting (1)'!G197+'Plant-Level Reporting (2)'!G199+'Plant-Level Reporting (3)'!G199</f>
        <v>#DIV/0!</v>
      </c>
      <c r="H68" s="365" t="e">
        <f>'Plant-Level Reporting (1)'!H197+'Plant-Level Reporting (2)'!H199+'Plant-Level Reporting (3)'!H199</f>
        <v>#DIV/0!</v>
      </c>
      <c r="I68" s="365" t="e">
        <f>'Plant-Level Reporting (1)'!I197+'Plant-Level Reporting (2)'!I199+'Plant-Level Reporting (3)'!I199</f>
        <v>#DIV/0!</v>
      </c>
      <c r="J68" s="366" t="e">
        <f>'Plant-Level Reporting (1)'!J197+'Plant-Level Reporting (2)'!J199+'Plant-Level Reporting (3)'!J199</f>
        <v>#DIV/0!</v>
      </c>
      <c r="K68" s="366" t="e">
        <f>'Plant-Level Reporting (1)'!K197+'Plant-Level Reporting (2)'!K199+'Plant-Level Reporting (3)'!K199</f>
        <v>#DIV/0!</v>
      </c>
      <c r="L68" s="367" t="e">
        <f>'Plant-Level Reporting (1)'!L197+'Plant-Level Reporting (2)'!L199+'Plant-Level Reporting (3)'!L199</f>
        <v>#DIV/0!</v>
      </c>
    </row>
    <row r="69" spans="2:12" ht="16" thickBot="1" x14ac:dyDescent="0.25">
      <c r="B69" s="341"/>
      <c r="C69" s="368" t="s">
        <v>211</v>
      </c>
      <c r="D69" s="369" t="s">
        <v>204</v>
      </c>
      <c r="E69" s="370" t="e">
        <f>'Plant-Level Reporting (1)'!E198+'Plant-Level Reporting (2)'!E200+'Plant-Level Reporting (3)'!E200</f>
        <v>#DIV/0!</v>
      </c>
      <c r="F69" s="370" t="e">
        <f>'Plant-Level Reporting (1)'!F198+'Plant-Level Reporting (2)'!F200+'Plant-Level Reporting (3)'!F200</f>
        <v>#DIV/0!</v>
      </c>
      <c r="G69" s="370" t="e">
        <f>'Plant-Level Reporting (1)'!G198+'Plant-Level Reporting (2)'!G200+'Plant-Level Reporting (3)'!G200</f>
        <v>#DIV/0!</v>
      </c>
      <c r="H69" s="371" t="e">
        <f>'Plant-Level Reporting (1)'!H198+'Plant-Level Reporting (2)'!H200+'Plant-Level Reporting (3)'!H200</f>
        <v>#DIV/0!</v>
      </c>
      <c r="I69" s="372" t="e">
        <f>'Plant-Level Reporting (1)'!I198+'Plant-Level Reporting (2)'!I200+'Plant-Level Reporting (3)'!I200</f>
        <v>#DIV/0!</v>
      </c>
      <c r="J69" s="373" t="e">
        <f>'Plant-Level Reporting (1)'!J198+'Plant-Level Reporting (2)'!J200+'Plant-Level Reporting (3)'!J200</f>
        <v>#DIV/0!</v>
      </c>
      <c r="K69" s="374" t="e">
        <f>'Plant-Level Reporting (1)'!K198+'Plant-Level Reporting (2)'!K200+'Plant-Level Reporting (3)'!K200</f>
        <v>#DIV/0!</v>
      </c>
      <c r="L69" s="375" t="e">
        <f>'Plant-Level Reporting (1)'!L198+'Plant-Level Reporting (2)'!L200+'Plant-Level Reporting (3)'!L200</f>
        <v>#DIV/0!</v>
      </c>
    </row>
  </sheetData>
  <mergeCells count="20">
    <mergeCell ref="B4:C4"/>
    <mergeCell ref="B12:C12"/>
    <mergeCell ref="D12:H12"/>
    <mergeCell ref="K46:L46"/>
    <mergeCell ref="B47:B68"/>
    <mergeCell ref="B20:F20"/>
    <mergeCell ref="B46:F46"/>
    <mergeCell ref="C22:C24"/>
    <mergeCell ref="B22:B43"/>
    <mergeCell ref="H46:I46"/>
    <mergeCell ref="B16:C16"/>
    <mergeCell ref="B17:C17"/>
    <mergeCell ref="B18:C18"/>
    <mergeCell ref="F18:H18"/>
    <mergeCell ref="B13:C13"/>
    <mergeCell ref="D13:H13"/>
    <mergeCell ref="B14:C14"/>
    <mergeCell ref="D14:H14"/>
    <mergeCell ref="B15:C15"/>
    <mergeCell ref="D15:H15"/>
  </mergeCells>
  <dataValidations count="1">
    <dataValidation type="textLength" showInputMessage="1" showErrorMessage="1" errorTitle="Data format" error="The value entered does not match the format of cell._x000a__x000a_Year value should be 4 integer digit. i.e. 2007" sqref="D12:D18" xr:uid="{C4D9618A-348B-4345-90FF-9C4CB1C05601}">
      <formula1>4</formula1>
      <formula2>4</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38D0-E237-49F4-B147-23E77F331F4F}">
  <sheetPr codeName="Sheet3">
    <tabColor theme="4" tint="0.79998168889431442"/>
    <pageSetUpPr fitToPage="1"/>
  </sheetPr>
  <dimension ref="A3:AG198"/>
  <sheetViews>
    <sheetView showGridLines="0" topLeftCell="A18" zoomScale="150" zoomScaleNormal="40" zoomScaleSheetLayoutView="100" workbookViewId="0">
      <selection activeCell="E150" sqref="E150"/>
    </sheetView>
  </sheetViews>
  <sheetFormatPr baseColWidth="10" defaultColWidth="8.83203125" defaultRowHeight="14" x14ac:dyDescent="0.2"/>
  <cols>
    <col min="1" max="1" width="3.33203125" style="25" customWidth="1"/>
    <col min="2" max="2" width="18.33203125" style="25" customWidth="1"/>
    <col min="3" max="3" width="24" style="25" customWidth="1"/>
    <col min="4" max="4" width="21.33203125" style="25" customWidth="1"/>
    <col min="5" max="5" width="27.33203125" style="25" customWidth="1"/>
    <col min="6" max="6" width="13.33203125" style="25" customWidth="1"/>
    <col min="7" max="7" width="15" style="25" customWidth="1"/>
    <col min="8" max="8" width="14.5" style="25" customWidth="1"/>
    <col min="9" max="9" width="15" style="25" customWidth="1"/>
    <col min="10" max="10" width="13.33203125" style="25" customWidth="1"/>
    <col min="11" max="11" width="15.33203125" style="25" customWidth="1"/>
    <col min="12" max="12" width="14" style="25" customWidth="1"/>
    <col min="13" max="15" width="13.33203125" style="25" customWidth="1"/>
    <col min="16" max="16" width="16" style="25" customWidth="1"/>
    <col min="17" max="17" width="15.1640625" style="25" customWidth="1"/>
    <col min="18" max="18" width="17" style="25" customWidth="1"/>
    <col min="19" max="19" width="13.33203125" style="25" customWidth="1"/>
    <col min="20" max="20" width="16.83203125" style="25" customWidth="1"/>
    <col min="21" max="21" width="13.33203125" style="25" customWidth="1"/>
    <col min="22" max="29" width="14.1640625" style="25" customWidth="1"/>
    <col min="30" max="30" width="36.33203125" style="25" customWidth="1"/>
    <col min="31" max="33" width="11.1640625" style="25" customWidth="1"/>
    <col min="34" max="34" width="13.6640625" style="25" bestFit="1" customWidth="1"/>
    <col min="35" max="35" width="12" style="25" bestFit="1" customWidth="1"/>
    <col min="36" max="36" width="11.1640625" style="25" customWidth="1"/>
    <col min="37" max="38" width="13.6640625" style="25" bestFit="1" customWidth="1"/>
    <col min="39" max="39" width="11.1640625" style="25" customWidth="1"/>
    <col min="40" max="40" width="15.33203125" style="25" bestFit="1" customWidth="1"/>
    <col min="41" max="53" width="11.1640625" style="25" customWidth="1"/>
    <col min="54" max="16384" width="8.83203125" style="25"/>
  </cols>
  <sheetData>
    <row r="3" spans="1:15" ht="34" x14ac:dyDescent="0.2">
      <c r="B3" s="182" t="s">
        <v>334</v>
      </c>
    </row>
    <row r="5" spans="1:15" ht="16" x14ac:dyDescent="0.2">
      <c r="B5" s="403" t="s">
        <v>303</v>
      </c>
      <c r="C5" s="403"/>
      <c r="D5" s="286"/>
      <c r="E5" s="286"/>
    </row>
    <row r="6" spans="1:15" x14ac:dyDescent="0.2">
      <c r="B6" s="280"/>
      <c r="C6" s="287" t="s">
        <v>110</v>
      </c>
      <c r="D6" s="27"/>
      <c r="E6" s="27"/>
    </row>
    <row r="7" spans="1:15" x14ac:dyDescent="0.2">
      <c r="B7" s="281"/>
      <c r="C7" s="288" t="s">
        <v>99</v>
      </c>
    </row>
    <row r="8" spans="1:15" x14ac:dyDescent="0.2">
      <c r="B8" s="282"/>
      <c r="C8" s="288" t="s">
        <v>100</v>
      </c>
    </row>
    <row r="9" spans="1:15" x14ac:dyDescent="0.2">
      <c r="B9" s="283"/>
      <c r="C9" s="287" t="s">
        <v>302</v>
      </c>
    </row>
    <row r="10" spans="1:15" ht="17" customHeight="1" x14ac:dyDescent="0.2">
      <c r="B10" s="337"/>
      <c r="C10" s="338" t="s">
        <v>316</v>
      </c>
      <c r="D10" s="157"/>
      <c r="E10" s="157"/>
      <c r="I10" s="26"/>
      <c r="J10" s="26"/>
      <c r="M10" s="26"/>
      <c r="N10" s="26"/>
    </row>
    <row r="11" spans="1:15" ht="17" customHeight="1" x14ac:dyDescent="0.2">
      <c r="I11" s="27"/>
      <c r="J11" s="27"/>
      <c r="M11" s="27"/>
      <c r="N11" s="27"/>
    </row>
    <row r="12" spans="1:15" ht="16" customHeight="1" x14ac:dyDescent="0.2">
      <c r="B12" s="156" t="s">
        <v>335</v>
      </c>
      <c r="D12" s="285"/>
      <c r="I12" s="27"/>
      <c r="J12" s="27"/>
      <c r="M12" s="27"/>
      <c r="N12" s="27"/>
    </row>
    <row r="13" spans="1:15" ht="16" customHeight="1" x14ac:dyDescent="0.2">
      <c r="B13" s="399" t="s">
        <v>339</v>
      </c>
      <c r="C13" s="400"/>
      <c r="D13" s="401"/>
      <c r="E13" s="401"/>
      <c r="F13" s="401"/>
      <c r="G13" s="401"/>
      <c r="H13" s="401"/>
      <c r="I13" s="27"/>
      <c r="J13" s="27"/>
      <c r="M13" s="27"/>
      <c r="N13" s="27"/>
    </row>
    <row r="14" spans="1:15" ht="16" x14ac:dyDescent="0.2">
      <c r="A14" s="27"/>
      <c r="B14" s="399" t="s">
        <v>90</v>
      </c>
      <c r="C14" s="400"/>
      <c r="D14" s="401"/>
      <c r="E14" s="402"/>
      <c r="F14" s="402"/>
      <c r="G14" s="402"/>
      <c r="H14" s="402"/>
      <c r="J14" s="37"/>
      <c r="L14" s="95"/>
      <c r="M14" s="42"/>
      <c r="N14" s="28"/>
      <c r="O14" s="27"/>
    </row>
    <row r="15" spans="1:15" ht="16" x14ac:dyDescent="0.2">
      <c r="A15" s="27"/>
      <c r="B15" s="396" t="s">
        <v>214</v>
      </c>
      <c r="C15" s="397"/>
      <c r="D15" s="401"/>
      <c r="E15" s="401"/>
      <c r="F15" s="401"/>
      <c r="G15" s="401"/>
      <c r="H15" s="401"/>
      <c r="J15" s="37"/>
      <c r="L15" s="95"/>
      <c r="M15" s="42"/>
      <c r="N15" s="28"/>
      <c r="O15" s="27"/>
    </row>
    <row r="16" spans="1:15" ht="17" x14ac:dyDescent="0.2">
      <c r="A16" s="27"/>
      <c r="B16" s="396" t="s">
        <v>215</v>
      </c>
      <c r="C16" s="397"/>
      <c r="D16" s="159"/>
      <c r="E16" s="158" t="s">
        <v>216</v>
      </c>
      <c r="F16" s="159"/>
      <c r="G16" s="158" t="s">
        <v>217</v>
      </c>
      <c r="H16" s="159"/>
      <c r="J16" s="37"/>
      <c r="L16" s="95"/>
      <c r="M16" s="42"/>
      <c r="N16" s="28"/>
      <c r="O16" s="27"/>
    </row>
    <row r="17" spans="1:16" ht="17" x14ac:dyDescent="0.2">
      <c r="A17" s="27"/>
      <c r="B17" s="396" t="s">
        <v>218</v>
      </c>
      <c r="C17" s="397"/>
      <c r="D17" s="159"/>
      <c r="E17" s="158" t="s">
        <v>219</v>
      </c>
      <c r="F17" s="159"/>
      <c r="G17" s="158" t="s">
        <v>220</v>
      </c>
      <c r="H17" s="159"/>
      <c r="J17" s="37"/>
      <c r="L17" s="95"/>
      <c r="M17" s="42"/>
      <c r="N17" s="28"/>
      <c r="O17" s="27"/>
    </row>
    <row r="18" spans="1:16" ht="17" x14ac:dyDescent="0.2">
      <c r="A18" s="27"/>
      <c r="B18" s="396" t="s">
        <v>217</v>
      </c>
      <c r="C18" s="397"/>
      <c r="D18" s="159"/>
      <c r="E18" s="158" t="s">
        <v>221</v>
      </c>
      <c r="F18" s="398"/>
      <c r="G18" s="398"/>
      <c r="H18" s="398"/>
      <c r="J18" s="37"/>
      <c r="L18" s="95"/>
      <c r="M18" s="42"/>
      <c r="N18" s="28"/>
      <c r="O18" s="27"/>
    </row>
    <row r="19" spans="1:16" ht="16" x14ac:dyDescent="0.2">
      <c r="A19" s="27"/>
      <c r="B19" s="27"/>
      <c r="C19" s="160"/>
      <c r="D19" s="161"/>
      <c r="E19" s="162"/>
      <c r="F19" s="162"/>
      <c r="G19" s="162"/>
      <c r="H19" s="162"/>
      <c r="I19" s="162"/>
      <c r="K19" s="37"/>
      <c r="M19" s="95"/>
      <c r="N19" s="42"/>
      <c r="O19" s="28"/>
      <c r="P19" s="27"/>
    </row>
    <row r="20" spans="1:16" ht="16" x14ac:dyDescent="0.2">
      <c r="A20" s="27"/>
      <c r="B20" s="163" t="s">
        <v>268</v>
      </c>
      <c r="C20" s="157"/>
      <c r="D20" s="157"/>
      <c r="E20" s="157"/>
      <c r="F20" s="157"/>
      <c r="G20" s="157"/>
      <c r="H20" s="157"/>
      <c r="J20" s="37"/>
      <c r="L20" s="95"/>
      <c r="M20" s="42"/>
      <c r="N20" s="28"/>
      <c r="O20" s="27"/>
    </row>
    <row r="21" spans="1:16" ht="34" customHeight="1" x14ac:dyDescent="0.2">
      <c r="A21" s="27"/>
      <c r="B21" s="166" t="s">
        <v>223</v>
      </c>
      <c r="C21" s="167" t="s">
        <v>224</v>
      </c>
      <c r="D21" s="168" t="s">
        <v>225</v>
      </c>
      <c r="E21" s="169" t="s">
        <v>94</v>
      </c>
      <c r="F21" s="169" t="s">
        <v>226</v>
      </c>
      <c r="G21" s="169" t="s">
        <v>340</v>
      </c>
      <c r="H21" s="37"/>
      <c r="J21" s="95"/>
      <c r="K21" s="42"/>
      <c r="L21" s="28"/>
      <c r="M21" s="27"/>
    </row>
    <row r="22" spans="1:16" ht="17" x14ac:dyDescent="0.2">
      <c r="A22" s="27"/>
      <c r="B22" s="170">
        <v>1</v>
      </c>
      <c r="C22" s="416" t="s">
        <v>228</v>
      </c>
      <c r="D22" s="183" t="s">
        <v>229</v>
      </c>
      <c r="E22" s="159"/>
      <c r="F22" s="159"/>
      <c r="G22" s="159"/>
      <c r="H22" s="37"/>
      <c r="J22" s="95"/>
      <c r="K22" s="42"/>
      <c r="L22" s="28"/>
      <c r="M22" s="27"/>
    </row>
    <row r="23" spans="1:16" ht="17" x14ac:dyDescent="0.2">
      <c r="A23" s="27"/>
      <c r="B23" s="170">
        <v>2</v>
      </c>
      <c r="C23" s="417"/>
      <c r="D23" s="183" t="s">
        <v>3</v>
      </c>
      <c r="E23" s="159"/>
      <c r="F23" s="159"/>
      <c r="G23" s="159"/>
      <c r="H23" s="37"/>
      <c r="J23" s="95"/>
      <c r="K23" s="42"/>
      <c r="L23" s="28"/>
      <c r="M23" s="27"/>
    </row>
    <row r="24" spans="1:16" ht="17" x14ac:dyDescent="0.2">
      <c r="A24" s="27"/>
      <c r="B24" s="170">
        <v>3</v>
      </c>
      <c r="C24" s="418"/>
      <c r="D24" s="183" t="s">
        <v>2</v>
      </c>
      <c r="E24" s="159"/>
      <c r="F24" s="159"/>
      <c r="G24" s="159"/>
      <c r="H24" s="37"/>
      <c r="J24" s="95"/>
      <c r="K24" s="42"/>
      <c r="L24" s="28"/>
      <c r="M24" s="27"/>
    </row>
    <row r="25" spans="1:16" ht="17" x14ac:dyDescent="0.2">
      <c r="A25" s="27"/>
      <c r="B25" s="170">
        <v>4</v>
      </c>
      <c r="C25" s="416" t="s">
        <v>230</v>
      </c>
      <c r="D25" s="183" t="s">
        <v>231</v>
      </c>
      <c r="E25" s="159"/>
      <c r="F25" s="159"/>
      <c r="G25" s="159"/>
      <c r="H25" s="37"/>
      <c r="J25" s="95"/>
      <c r="K25" s="42"/>
      <c r="L25" s="28"/>
      <c r="M25" s="27"/>
    </row>
    <row r="26" spans="1:16" ht="34" x14ac:dyDescent="0.2">
      <c r="A26" s="27"/>
      <c r="B26" s="170">
        <v>5</v>
      </c>
      <c r="C26" s="417"/>
      <c r="D26" s="183" t="s">
        <v>232</v>
      </c>
      <c r="E26" s="159"/>
      <c r="F26" s="159"/>
      <c r="G26" s="159"/>
      <c r="H26" s="37"/>
      <c r="J26" s="95"/>
      <c r="K26" s="42"/>
      <c r="L26" s="28"/>
      <c r="M26" s="27"/>
    </row>
    <row r="27" spans="1:16" ht="17" x14ac:dyDescent="0.2">
      <c r="A27" s="27"/>
      <c r="B27" s="170">
        <v>6</v>
      </c>
      <c r="C27" s="417"/>
      <c r="D27" s="183" t="s">
        <v>233</v>
      </c>
      <c r="E27" s="159"/>
      <c r="F27" s="159"/>
      <c r="G27" s="159"/>
      <c r="H27" s="37"/>
      <c r="J27" s="95"/>
      <c r="K27" s="42"/>
      <c r="L27" s="28"/>
      <c r="M27" s="27"/>
    </row>
    <row r="28" spans="1:16" ht="17" x14ac:dyDescent="0.2">
      <c r="A28" s="27"/>
      <c r="B28" s="170">
        <v>7</v>
      </c>
      <c r="C28" s="418"/>
      <c r="D28" s="183" t="s">
        <v>234</v>
      </c>
      <c r="E28" s="159"/>
      <c r="F28" s="159"/>
      <c r="G28" s="159"/>
      <c r="H28" s="37"/>
      <c r="J28" s="95"/>
      <c r="K28" s="42"/>
      <c r="L28" s="28"/>
      <c r="M28" s="27"/>
    </row>
    <row r="29" spans="1:16" ht="34" x14ac:dyDescent="0.2">
      <c r="A29" s="27"/>
      <c r="B29" s="170">
        <v>8</v>
      </c>
      <c r="C29" s="416" t="s">
        <v>235</v>
      </c>
      <c r="D29" s="183" t="s">
        <v>236</v>
      </c>
      <c r="E29" s="159"/>
      <c r="F29" s="159"/>
      <c r="G29" s="159"/>
      <c r="H29" s="37"/>
      <c r="J29" s="95"/>
      <c r="K29" s="42"/>
      <c r="L29" s="28"/>
      <c r="M29" s="27"/>
    </row>
    <row r="30" spans="1:16" ht="17" x14ac:dyDescent="0.2">
      <c r="A30" s="27"/>
      <c r="B30" s="170">
        <v>9</v>
      </c>
      <c r="C30" s="417"/>
      <c r="D30" s="183" t="s">
        <v>237</v>
      </c>
      <c r="E30" s="159"/>
      <c r="F30" s="159"/>
      <c r="G30" s="159"/>
      <c r="H30" s="37"/>
      <c r="J30" s="95"/>
      <c r="K30" s="42"/>
      <c r="L30" s="28"/>
      <c r="M30" s="27"/>
    </row>
    <row r="31" spans="1:16" ht="17" x14ac:dyDescent="0.2">
      <c r="A31" s="27"/>
      <c r="B31" s="170">
        <v>10</v>
      </c>
      <c r="C31" s="418"/>
      <c r="D31" s="183" t="s">
        <v>238</v>
      </c>
      <c r="E31" s="159"/>
      <c r="F31" s="159"/>
      <c r="G31" s="159"/>
      <c r="H31" s="37"/>
      <c r="J31" s="95"/>
      <c r="K31" s="42"/>
      <c r="L31" s="28"/>
      <c r="M31" s="27"/>
    </row>
    <row r="32" spans="1:16" ht="17" x14ac:dyDescent="0.2">
      <c r="A32" s="27"/>
      <c r="B32" s="170">
        <v>11</v>
      </c>
      <c r="C32" s="416" t="s">
        <v>239</v>
      </c>
      <c r="D32" s="183" t="s">
        <v>240</v>
      </c>
      <c r="E32" s="159"/>
      <c r="F32" s="159"/>
      <c r="G32" s="159"/>
      <c r="H32" s="37"/>
      <c r="J32" s="95"/>
      <c r="K32" s="42"/>
      <c r="L32" s="28"/>
      <c r="M32" s="27"/>
    </row>
    <row r="33" spans="1:16" ht="17" x14ac:dyDescent="0.2">
      <c r="A33" s="27"/>
      <c r="B33" s="170">
        <v>12</v>
      </c>
      <c r="C33" s="417"/>
      <c r="D33" s="183" t="s">
        <v>241</v>
      </c>
      <c r="E33" s="159"/>
      <c r="F33" s="159"/>
      <c r="G33" s="159"/>
      <c r="H33" s="37"/>
      <c r="J33" s="95"/>
      <c r="K33" s="42"/>
      <c r="L33" s="28"/>
      <c r="M33" s="27"/>
    </row>
    <row r="34" spans="1:16" ht="17" x14ac:dyDescent="0.2">
      <c r="A34" s="27"/>
      <c r="B34" s="170">
        <v>13</v>
      </c>
      <c r="C34" s="418"/>
      <c r="D34" s="183" t="s">
        <v>242</v>
      </c>
      <c r="E34" s="159"/>
      <c r="F34" s="159"/>
      <c r="G34" s="159"/>
      <c r="H34" s="37"/>
      <c r="J34" s="95"/>
      <c r="K34" s="42"/>
      <c r="L34" s="28"/>
      <c r="M34" s="27"/>
    </row>
    <row r="35" spans="1:16" ht="17" x14ac:dyDescent="0.2">
      <c r="A35" s="27"/>
      <c r="B35" s="170">
        <v>14</v>
      </c>
      <c r="C35" s="416" t="s">
        <v>243</v>
      </c>
      <c r="D35" s="183" t="s">
        <v>244</v>
      </c>
      <c r="E35" s="159"/>
      <c r="F35" s="159"/>
      <c r="G35" s="159"/>
      <c r="H35" s="37"/>
      <c r="J35" s="95"/>
      <c r="K35" s="42"/>
      <c r="L35" s="28"/>
      <c r="M35" s="27"/>
    </row>
    <row r="36" spans="1:16" ht="17" x14ac:dyDescent="0.2">
      <c r="A36" s="27"/>
      <c r="B36" s="170">
        <v>15</v>
      </c>
      <c r="C36" s="417"/>
      <c r="D36" s="183" t="s">
        <v>245</v>
      </c>
      <c r="E36" s="159"/>
      <c r="F36" s="159"/>
      <c r="G36" s="159"/>
      <c r="H36" s="37"/>
      <c r="J36" s="95"/>
      <c r="K36" s="42"/>
      <c r="L36" s="28"/>
      <c r="M36" s="27"/>
    </row>
    <row r="37" spans="1:16" ht="17" x14ac:dyDescent="0.2">
      <c r="A37" s="27"/>
      <c r="B37" s="170">
        <v>16</v>
      </c>
      <c r="C37" s="417"/>
      <c r="D37" s="186" t="s">
        <v>311</v>
      </c>
      <c r="E37" s="159"/>
      <c r="F37" s="159"/>
      <c r="G37" s="159"/>
      <c r="H37" s="37"/>
      <c r="J37" s="95"/>
      <c r="K37" s="42"/>
      <c r="L37" s="28"/>
      <c r="M37" s="27"/>
    </row>
    <row r="38" spans="1:16" ht="17" x14ac:dyDescent="0.2">
      <c r="A38" s="27"/>
      <c r="B38" s="170">
        <v>17</v>
      </c>
      <c r="C38" s="417"/>
      <c r="D38" s="186" t="s">
        <v>312</v>
      </c>
      <c r="E38" s="159"/>
      <c r="F38" s="159"/>
      <c r="G38" s="159"/>
      <c r="H38" s="37"/>
      <c r="J38" s="95"/>
      <c r="K38" s="42"/>
      <c r="L38" s="28"/>
      <c r="M38" s="27"/>
    </row>
    <row r="39" spans="1:16" ht="17" x14ac:dyDescent="0.2">
      <c r="A39" s="27"/>
      <c r="B39" s="170">
        <v>18</v>
      </c>
      <c r="C39" s="417"/>
      <c r="D39" s="186" t="s">
        <v>313</v>
      </c>
      <c r="E39" s="159"/>
      <c r="F39" s="159"/>
      <c r="G39" s="159"/>
      <c r="H39" s="37"/>
      <c r="J39" s="95"/>
      <c r="K39" s="42"/>
      <c r="L39" s="28"/>
      <c r="M39" s="27"/>
    </row>
    <row r="40" spans="1:16" ht="17" x14ac:dyDescent="0.2">
      <c r="A40" s="27"/>
      <c r="B40" s="170">
        <v>19</v>
      </c>
      <c r="C40" s="417"/>
      <c r="D40" s="186" t="s">
        <v>315</v>
      </c>
      <c r="E40" s="159"/>
      <c r="F40" s="159"/>
      <c r="G40" s="159"/>
      <c r="H40" s="37"/>
      <c r="J40" s="95"/>
      <c r="K40" s="42"/>
      <c r="L40" s="28"/>
      <c r="M40" s="27"/>
    </row>
    <row r="41" spans="1:16" ht="17" x14ac:dyDescent="0.2">
      <c r="A41" s="27"/>
      <c r="B41" s="170">
        <v>20</v>
      </c>
      <c r="C41" s="418"/>
      <c r="D41" s="186" t="s">
        <v>314</v>
      </c>
      <c r="E41" s="159"/>
      <c r="F41" s="159"/>
      <c r="G41" s="159"/>
      <c r="H41" s="37"/>
      <c r="J41" s="95"/>
      <c r="K41" s="42"/>
      <c r="L41" s="28"/>
      <c r="M41" s="27"/>
    </row>
    <row r="42" spans="1:16" ht="16" x14ac:dyDescent="0.2">
      <c r="A42" s="27"/>
      <c r="B42" s="27"/>
      <c r="C42" s="171"/>
      <c r="D42" s="172"/>
      <c r="E42" s="173"/>
      <c r="F42" s="174"/>
      <c r="G42" s="174"/>
      <c r="H42" s="175"/>
      <c r="I42" s="175"/>
      <c r="K42" s="37"/>
      <c r="M42" s="95"/>
      <c r="N42" s="42"/>
      <c r="O42" s="28"/>
      <c r="P42" s="27"/>
    </row>
    <row r="43" spans="1:16" ht="16" x14ac:dyDescent="0.2">
      <c r="A43" s="27"/>
      <c r="B43" s="163" t="s">
        <v>341</v>
      </c>
      <c r="C43" s="213"/>
      <c r="D43" s="214"/>
      <c r="E43" s="214"/>
      <c r="F43" s="215"/>
      <c r="G43" s="216"/>
      <c r="H43" s="216"/>
      <c r="J43" s="37"/>
      <c r="L43" s="95"/>
      <c r="M43" s="42"/>
      <c r="N43" s="28"/>
      <c r="O43" s="27"/>
    </row>
    <row r="44" spans="1:16" ht="16" x14ac:dyDescent="0.2">
      <c r="A44" s="27"/>
      <c r="B44" s="431" t="s">
        <v>248</v>
      </c>
      <c r="C44" s="431"/>
      <c r="D44" s="431"/>
      <c r="E44" s="176" t="s">
        <v>93</v>
      </c>
      <c r="F44" s="176" t="s">
        <v>249</v>
      </c>
      <c r="G44" s="176" t="s">
        <v>250</v>
      </c>
      <c r="H44" s="177" t="s">
        <v>251</v>
      </c>
      <c r="J44" s="37"/>
      <c r="L44" s="95"/>
      <c r="M44" s="42"/>
      <c r="N44" s="28"/>
      <c r="O44" s="27"/>
    </row>
    <row r="45" spans="1:16" ht="16" x14ac:dyDescent="0.2">
      <c r="A45" s="27"/>
      <c r="B45" s="170">
        <v>1</v>
      </c>
      <c r="C45" s="432" t="s">
        <v>104</v>
      </c>
      <c r="D45" s="184" t="s">
        <v>21</v>
      </c>
      <c r="E45" s="185" t="s">
        <v>14</v>
      </c>
      <c r="F45" s="154"/>
      <c r="G45" s="159"/>
      <c r="H45" s="159"/>
      <c r="J45" s="37"/>
      <c r="L45" s="95"/>
      <c r="M45" s="42"/>
      <c r="N45" s="28"/>
      <c r="O45" s="27"/>
    </row>
    <row r="46" spans="1:16" ht="16" x14ac:dyDescent="0.2">
      <c r="A46" s="27"/>
      <c r="B46" s="170">
        <v>2</v>
      </c>
      <c r="C46" s="432"/>
      <c r="D46" s="184" t="s">
        <v>34</v>
      </c>
      <c r="E46" s="185" t="s">
        <v>27</v>
      </c>
      <c r="F46" s="159"/>
      <c r="G46" s="159"/>
      <c r="H46" s="159"/>
      <c r="J46" s="37"/>
      <c r="L46" s="95"/>
      <c r="M46" s="42"/>
      <c r="N46" s="28"/>
      <c r="O46" s="27"/>
    </row>
    <row r="47" spans="1:16" ht="16" x14ac:dyDescent="0.2">
      <c r="A47" s="27"/>
      <c r="B47" s="170">
        <v>3</v>
      </c>
      <c r="C47" s="432"/>
      <c r="D47" s="184" t="s">
        <v>273</v>
      </c>
      <c r="E47" s="185" t="s">
        <v>27</v>
      </c>
      <c r="F47" s="159"/>
      <c r="G47" s="159"/>
      <c r="H47" s="159"/>
      <c r="J47" s="37"/>
      <c r="L47" s="95"/>
      <c r="M47" s="42"/>
      <c r="N47" s="28"/>
      <c r="O47" s="27"/>
    </row>
    <row r="48" spans="1:16" ht="16" x14ac:dyDescent="0.2">
      <c r="A48" s="27"/>
      <c r="B48" s="170">
        <v>4</v>
      </c>
      <c r="C48" s="432"/>
      <c r="D48" s="184" t="s">
        <v>252</v>
      </c>
      <c r="E48" s="185" t="s">
        <v>27</v>
      </c>
      <c r="F48" s="178"/>
      <c r="G48" s="178"/>
      <c r="H48" s="178"/>
      <c r="J48" s="37"/>
      <c r="L48" s="95"/>
      <c r="M48" s="42"/>
      <c r="N48" s="28"/>
      <c r="O48" s="27"/>
    </row>
    <row r="49" spans="1:15" ht="16" x14ac:dyDescent="0.2">
      <c r="A49" s="27"/>
      <c r="B49" s="170">
        <v>5</v>
      </c>
      <c r="C49" s="432" t="s">
        <v>103</v>
      </c>
      <c r="D49" s="184" t="s">
        <v>323</v>
      </c>
      <c r="E49" s="185" t="s">
        <v>27</v>
      </c>
      <c r="F49" s="159"/>
      <c r="G49" s="159"/>
      <c r="H49" s="159"/>
      <c r="J49" s="37"/>
      <c r="L49" s="95"/>
      <c r="M49" s="42"/>
      <c r="N49" s="28"/>
      <c r="O49" s="27"/>
    </row>
    <row r="50" spans="1:15" ht="16" x14ac:dyDescent="0.2">
      <c r="A50" s="27"/>
      <c r="B50" s="170">
        <v>6</v>
      </c>
      <c r="C50" s="432"/>
      <c r="D50" s="184" t="s">
        <v>254</v>
      </c>
      <c r="E50" s="185" t="s">
        <v>27</v>
      </c>
      <c r="F50" s="159"/>
      <c r="G50" s="159"/>
      <c r="H50" s="159"/>
      <c r="J50" s="37"/>
      <c r="L50" s="95"/>
      <c r="M50" s="42"/>
      <c r="N50" s="28"/>
      <c r="O50" s="27"/>
    </row>
    <row r="51" spans="1:15" ht="17" x14ac:dyDescent="0.2">
      <c r="A51" s="27"/>
      <c r="B51" s="170">
        <v>7</v>
      </c>
      <c r="C51" s="432" t="s">
        <v>105</v>
      </c>
      <c r="D51" s="186" t="s">
        <v>255</v>
      </c>
      <c r="E51" s="185" t="s">
        <v>27</v>
      </c>
      <c r="F51" s="159"/>
      <c r="G51" s="159"/>
      <c r="H51" s="159"/>
      <c r="J51" s="37"/>
      <c r="L51" s="95"/>
      <c r="M51" s="42"/>
      <c r="N51" s="28"/>
      <c r="O51" s="27"/>
    </row>
    <row r="52" spans="1:15" ht="17" x14ac:dyDescent="0.2">
      <c r="A52" s="27"/>
      <c r="B52" s="170">
        <v>8</v>
      </c>
      <c r="C52" s="432"/>
      <c r="D52" s="186" t="s">
        <v>256</v>
      </c>
      <c r="E52" s="185" t="s">
        <v>27</v>
      </c>
      <c r="F52" s="159"/>
      <c r="G52" s="159"/>
      <c r="H52" s="159"/>
      <c r="J52" s="37"/>
      <c r="L52" s="95"/>
      <c r="M52" s="42"/>
      <c r="N52" s="28"/>
      <c r="O52" s="27"/>
    </row>
    <row r="53" spans="1:15" ht="34" x14ac:dyDescent="0.2">
      <c r="A53" s="27"/>
      <c r="B53" s="170">
        <v>9</v>
      </c>
      <c r="C53" s="432"/>
      <c r="D53" s="186" t="s">
        <v>141</v>
      </c>
      <c r="E53" s="185" t="s">
        <v>27</v>
      </c>
      <c r="F53" s="159"/>
      <c r="G53" s="159"/>
      <c r="H53" s="159"/>
      <c r="J53" s="37"/>
      <c r="L53" s="95"/>
      <c r="M53" s="42"/>
      <c r="N53" s="28"/>
      <c r="O53" s="27"/>
    </row>
    <row r="54" spans="1:15" ht="17" x14ac:dyDescent="0.2">
      <c r="A54" s="27"/>
      <c r="B54" s="170">
        <v>10</v>
      </c>
      <c r="C54" s="432"/>
      <c r="D54" s="187" t="s">
        <v>257</v>
      </c>
      <c r="E54" s="185" t="s">
        <v>27</v>
      </c>
      <c r="F54" s="179">
        <f>SUM(F51:F53)</f>
        <v>0</v>
      </c>
      <c r="G54" s="179">
        <f>SUM(G51:G53)</f>
        <v>0</v>
      </c>
      <c r="H54" s="179">
        <f>SUM(H51:H53)</f>
        <v>0</v>
      </c>
      <c r="J54" s="37"/>
      <c r="L54" s="95"/>
      <c r="M54" s="42"/>
      <c r="N54" s="28"/>
      <c r="O54" s="27"/>
    </row>
    <row r="55" spans="1:15" ht="17" x14ac:dyDescent="0.2">
      <c r="A55" s="27"/>
      <c r="B55" s="170">
        <v>11</v>
      </c>
      <c r="C55" s="432"/>
      <c r="D55" s="186" t="s">
        <v>309</v>
      </c>
      <c r="E55" s="185" t="s">
        <v>27</v>
      </c>
      <c r="F55" s="159"/>
      <c r="G55" s="159"/>
      <c r="H55" s="159"/>
      <c r="J55" s="37"/>
      <c r="L55" s="95"/>
      <c r="M55" s="42"/>
      <c r="N55" s="28"/>
      <c r="O55" s="27"/>
    </row>
    <row r="56" spans="1:15" ht="17" x14ac:dyDescent="0.2">
      <c r="A56" s="27"/>
      <c r="B56" s="170">
        <v>12</v>
      </c>
      <c r="C56" s="432"/>
      <c r="D56" s="186" t="s">
        <v>310</v>
      </c>
      <c r="E56" s="185" t="s">
        <v>27</v>
      </c>
      <c r="F56" s="159"/>
      <c r="G56" s="159"/>
      <c r="H56" s="159"/>
      <c r="J56" s="37"/>
      <c r="L56" s="95"/>
      <c r="M56" s="42"/>
      <c r="N56" s="28"/>
      <c r="O56" s="27"/>
    </row>
    <row r="57" spans="1:15" ht="17" x14ac:dyDescent="0.2">
      <c r="A57" s="27"/>
      <c r="B57" s="170">
        <v>13</v>
      </c>
      <c r="C57" s="432"/>
      <c r="D57" s="186" t="s">
        <v>311</v>
      </c>
      <c r="E57" s="185" t="s">
        <v>27</v>
      </c>
      <c r="F57" s="159"/>
      <c r="G57" s="159"/>
      <c r="H57" s="159"/>
      <c r="J57" s="37"/>
      <c r="L57" s="95"/>
      <c r="M57" s="42"/>
      <c r="N57" s="28"/>
      <c r="O57" s="27"/>
    </row>
    <row r="58" spans="1:15" ht="17" x14ac:dyDescent="0.2">
      <c r="A58" s="27"/>
      <c r="B58" s="170">
        <v>14</v>
      </c>
      <c r="C58" s="432"/>
      <c r="D58" s="186" t="s">
        <v>312</v>
      </c>
      <c r="E58" s="185" t="s">
        <v>27</v>
      </c>
      <c r="F58" s="159"/>
      <c r="G58" s="159"/>
      <c r="H58" s="159"/>
      <c r="J58" s="37"/>
      <c r="L58" s="95"/>
      <c r="M58" s="42"/>
      <c r="N58" s="28"/>
      <c r="O58" s="27"/>
    </row>
    <row r="59" spans="1:15" ht="17" x14ac:dyDescent="0.2">
      <c r="A59" s="27"/>
      <c r="B59" s="170">
        <v>15</v>
      </c>
      <c r="C59" s="432"/>
      <c r="D59" s="186" t="s">
        <v>313</v>
      </c>
      <c r="E59" s="185" t="s">
        <v>27</v>
      </c>
      <c r="F59" s="159"/>
      <c r="G59" s="159"/>
      <c r="H59" s="159"/>
      <c r="J59" s="37"/>
      <c r="L59" s="95"/>
      <c r="M59" s="42"/>
      <c r="N59" s="28"/>
      <c r="O59" s="27"/>
    </row>
    <row r="60" spans="1:15" ht="17" x14ac:dyDescent="0.2">
      <c r="A60" s="27"/>
      <c r="B60" s="170">
        <v>16</v>
      </c>
      <c r="C60" s="432"/>
      <c r="D60" s="186" t="s">
        <v>315</v>
      </c>
      <c r="E60" s="185" t="s">
        <v>27</v>
      </c>
      <c r="F60" s="159"/>
      <c r="G60" s="159"/>
      <c r="H60" s="159"/>
      <c r="J60" s="37"/>
      <c r="L60" s="95"/>
      <c r="M60" s="42"/>
      <c r="N60" s="28"/>
      <c r="O60" s="27"/>
    </row>
    <row r="61" spans="1:15" ht="17" x14ac:dyDescent="0.2">
      <c r="A61" s="27"/>
      <c r="B61" s="170">
        <v>17</v>
      </c>
      <c r="C61" s="432"/>
      <c r="D61" s="186" t="s">
        <v>314</v>
      </c>
      <c r="E61" s="185" t="s">
        <v>27</v>
      </c>
      <c r="F61" s="159"/>
      <c r="G61" s="159"/>
      <c r="H61" s="159"/>
      <c r="J61" s="37"/>
      <c r="L61" s="95"/>
      <c r="M61" s="42"/>
      <c r="N61" s="28"/>
      <c r="O61" s="27"/>
    </row>
    <row r="62" spans="1:15" ht="17" x14ac:dyDescent="0.2">
      <c r="A62" s="27"/>
      <c r="B62" s="170">
        <v>18</v>
      </c>
      <c r="C62" s="432"/>
      <c r="D62" s="187" t="s">
        <v>258</v>
      </c>
      <c r="E62" s="185" t="s">
        <v>27</v>
      </c>
      <c r="F62" s="179">
        <f>SUM(F55:F61)</f>
        <v>0</v>
      </c>
      <c r="G62" s="179">
        <f>SUM(G55:G61)</f>
        <v>0</v>
      </c>
      <c r="H62" s="179">
        <f>SUM(H55:H61)</f>
        <v>0</v>
      </c>
      <c r="J62" s="37"/>
      <c r="L62" s="95"/>
      <c r="M62" s="42"/>
      <c r="N62" s="28"/>
      <c r="O62" s="27"/>
    </row>
    <row r="63" spans="1:15" ht="17" x14ac:dyDescent="0.2">
      <c r="A63" s="27"/>
      <c r="B63" s="170">
        <v>19</v>
      </c>
      <c r="C63" s="432"/>
      <c r="D63" s="187" t="s">
        <v>259</v>
      </c>
      <c r="E63" s="185" t="s">
        <v>27</v>
      </c>
      <c r="F63" s="180"/>
      <c r="G63" s="180"/>
      <c r="H63" s="180"/>
      <c r="J63" s="37"/>
      <c r="L63" s="95"/>
      <c r="M63" s="42"/>
      <c r="N63" s="28"/>
      <c r="O63" s="27"/>
    </row>
    <row r="64" spans="1:15" ht="19" x14ac:dyDescent="0.2">
      <c r="A64" s="27"/>
      <c r="B64" s="170">
        <v>20</v>
      </c>
      <c r="C64" s="432" t="s">
        <v>114</v>
      </c>
      <c r="D64" s="184" t="s">
        <v>63</v>
      </c>
      <c r="E64" s="185" t="s">
        <v>260</v>
      </c>
      <c r="F64" s="178"/>
      <c r="G64" s="178"/>
      <c r="H64" s="178"/>
      <c r="J64" s="37"/>
      <c r="L64" s="95"/>
      <c r="M64" s="42"/>
      <c r="N64" s="28"/>
      <c r="O64" s="27"/>
    </row>
    <row r="65" spans="1:20" ht="19" x14ac:dyDescent="0.2">
      <c r="A65" s="27"/>
      <c r="B65" s="170">
        <v>21</v>
      </c>
      <c r="C65" s="432"/>
      <c r="D65" s="184" t="s">
        <v>54</v>
      </c>
      <c r="E65" s="185" t="s">
        <v>260</v>
      </c>
      <c r="F65" s="178"/>
      <c r="G65" s="178"/>
      <c r="H65" s="178"/>
      <c r="J65" s="37"/>
      <c r="L65" s="95"/>
      <c r="M65" s="42"/>
      <c r="N65" s="28"/>
      <c r="O65" s="27"/>
    </row>
    <row r="66" spans="1:20" ht="19" x14ac:dyDescent="0.2">
      <c r="A66" s="27"/>
      <c r="B66" s="170">
        <v>22</v>
      </c>
      <c r="C66" s="432"/>
      <c r="D66" s="184" t="s">
        <v>55</v>
      </c>
      <c r="E66" s="185" t="s">
        <v>260</v>
      </c>
      <c r="F66" s="178"/>
      <c r="G66" s="178"/>
      <c r="H66" s="178"/>
      <c r="J66" s="37"/>
      <c r="L66" s="95"/>
      <c r="M66" s="42"/>
      <c r="N66" s="28"/>
      <c r="O66" s="27"/>
    </row>
    <row r="67" spans="1:20" ht="19" x14ac:dyDescent="0.2">
      <c r="A67" s="27"/>
      <c r="B67" s="170">
        <v>23</v>
      </c>
      <c r="C67" s="432"/>
      <c r="D67" s="184" t="s">
        <v>261</v>
      </c>
      <c r="E67" s="185" t="s">
        <v>260</v>
      </c>
      <c r="F67" s="178"/>
      <c r="G67" s="178"/>
      <c r="H67" s="178"/>
      <c r="J67" s="37"/>
      <c r="L67" s="95"/>
      <c r="M67" s="42"/>
      <c r="N67" s="28"/>
      <c r="O67" s="27"/>
    </row>
    <row r="68" spans="1:20" ht="16" x14ac:dyDescent="0.2">
      <c r="A68" s="27"/>
      <c r="B68" s="170">
        <v>24</v>
      </c>
      <c r="C68" s="432" t="s">
        <v>107</v>
      </c>
      <c r="D68" s="184" t="s">
        <v>262</v>
      </c>
      <c r="E68" s="185" t="s">
        <v>14</v>
      </c>
      <c r="F68" s="178"/>
      <c r="G68" s="178"/>
      <c r="H68" s="178"/>
      <c r="J68" s="37"/>
      <c r="L68" s="95"/>
      <c r="M68" s="42"/>
      <c r="N68" s="28"/>
      <c r="O68" s="27"/>
    </row>
    <row r="69" spans="1:20" ht="16" x14ac:dyDescent="0.2">
      <c r="A69" s="27"/>
      <c r="B69" s="170">
        <v>25</v>
      </c>
      <c r="C69" s="432"/>
      <c r="D69" s="184" t="s">
        <v>263</v>
      </c>
      <c r="E69" s="185" t="s">
        <v>14</v>
      </c>
      <c r="F69" s="178"/>
      <c r="G69" s="178"/>
      <c r="H69" s="178"/>
      <c r="J69" s="37"/>
      <c r="L69" s="95"/>
      <c r="M69" s="42"/>
      <c r="N69" s="28"/>
      <c r="O69" s="27"/>
    </row>
    <row r="70" spans="1:20" ht="16" x14ac:dyDescent="0.2">
      <c r="A70" s="27"/>
      <c r="B70" s="170">
        <v>26</v>
      </c>
      <c r="C70" s="432"/>
      <c r="D70" s="184" t="s">
        <v>264</v>
      </c>
      <c r="E70" s="185" t="s">
        <v>14</v>
      </c>
      <c r="F70" s="178"/>
      <c r="G70" s="178"/>
      <c r="H70" s="178"/>
      <c r="J70" s="37"/>
      <c r="L70" s="95"/>
      <c r="M70" s="42"/>
      <c r="N70" s="28"/>
      <c r="O70" s="27"/>
    </row>
    <row r="71" spans="1:20" ht="16" x14ac:dyDescent="0.2">
      <c r="A71" s="27"/>
      <c r="B71" s="170">
        <v>27</v>
      </c>
      <c r="C71" s="432"/>
      <c r="D71" s="184" t="s">
        <v>265</v>
      </c>
      <c r="E71" s="185" t="s">
        <v>14</v>
      </c>
      <c r="F71" s="178"/>
      <c r="G71" s="178"/>
      <c r="H71" s="178"/>
      <c r="J71" s="37"/>
      <c r="L71" s="95"/>
      <c r="M71" s="42"/>
      <c r="N71" s="28"/>
      <c r="O71" s="27"/>
    </row>
    <row r="72" spans="1:20" ht="16" x14ac:dyDescent="0.2">
      <c r="A72" s="27"/>
      <c r="B72" s="170">
        <v>28</v>
      </c>
      <c r="C72" s="432"/>
      <c r="D72" s="184" t="s">
        <v>266</v>
      </c>
      <c r="E72" s="185" t="s">
        <v>14</v>
      </c>
      <c r="F72" s="178"/>
      <c r="G72" s="178"/>
      <c r="H72" s="178"/>
      <c r="J72" s="37"/>
      <c r="L72" s="95"/>
      <c r="M72" s="42"/>
      <c r="N72" s="28"/>
      <c r="O72" s="27"/>
    </row>
    <row r="73" spans="1:20" x14ac:dyDescent="0.2">
      <c r="A73" s="27"/>
      <c r="B73" s="27"/>
      <c r="D73" s="27"/>
      <c r="G73" s="27"/>
      <c r="H73" s="27"/>
      <c r="I73" s="29"/>
      <c r="K73" s="37"/>
      <c r="M73" s="95"/>
      <c r="N73" s="42"/>
      <c r="O73" s="28"/>
      <c r="P73" s="27"/>
    </row>
    <row r="74" spans="1:20" x14ac:dyDescent="0.2">
      <c r="A74" s="27"/>
      <c r="B74" s="27"/>
      <c r="D74" s="27"/>
      <c r="G74" s="27"/>
      <c r="H74" s="27"/>
      <c r="I74" s="29"/>
      <c r="K74" s="37"/>
      <c r="M74" s="95"/>
      <c r="N74" s="42"/>
      <c r="O74" s="28"/>
      <c r="P74" s="27"/>
    </row>
    <row r="75" spans="1:20" x14ac:dyDescent="0.2">
      <c r="A75" s="27"/>
      <c r="B75" s="27"/>
      <c r="D75" s="27"/>
      <c r="G75" s="27"/>
      <c r="H75" s="27"/>
      <c r="I75" s="29"/>
      <c r="K75" s="37"/>
      <c r="M75" s="95"/>
      <c r="N75" s="42"/>
      <c r="O75" s="28"/>
      <c r="P75" s="27"/>
    </row>
    <row r="76" spans="1:20" x14ac:dyDescent="0.2">
      <c r="A76" s="27"/>
      <c r="B76" s="27"/>
      <c r="D76" s="27"/>
      <c r="E76" s="27"/>
      <c r="F76" s="29"/>
      <c r="G76" s="29"/>
      <c r="H76" s="29"/>
      <c r="I76" s="30"/>
      <c r="J76" s="27"/>
      <c r="K76" s="27"/>
      <c r="L76" s="27"/>
      <c r="M76" s="27"/>
      <c r="N76" s="27"/>
      <c r="O76" s="27"/>
      <c r="P76" s="27"/>
    </row>
    <row r="77" spans="1:20" x14ac:dyDescent="0.2">
      <c r="A77" s="27"/>
      <c r="B77" s="38" t="s">
        <v>307</v>
      </c>
      <c r="C77" s="27"/>
      <c r="D77" s="27"/>
      <c r="E77" s="29"/>
      <c r="F77" s="29"/>
      <c r="G77" s="29"/>
      <c r="H77" s="30"/>
      <c r="I77" s="27"/>
      <c r="J77" s="27"/>
      <c r="K77" s="27"/>
      <c r="L77" s="27"/>
      <c r="M77" s="27"/>
      <c r="N77" s="27"/>
      <c r="O77" s="27"/>
    </row>
    <row r="78" spans="1:20" ht="30" x14ac:dyDescent="0.2">
      <c r="A78" s="27"/>
      <c r="B78" s="433" t="s">
        <v>96</v>
      </c>
      <c r="C78" s="433"/>
      <c r="D78" s="265" t="s">
        <v>5</v>
      </c>
      <c r="E78" s="265" t="s">
        <v>286</v>
      </c>
      <c r="G78" s="46" t="s">
        <v>140</v>
      </c>
      <c r="H78" s="94"/>
      <c r="I78" s="27"/>
      <c r="K78" s="27"/>
      <c r="L78" s="42"/>
      <c r="M78" s="28"/>
      <c r="O78" s="42"/>
      <c r="P78" s="28"/>
      <c r="Q78" s="42"/>
      <c r="R78" s="28"/>
      <c r="S78" s="42"/>
      <c r="T78" s="42"/>
    </row>
    <row r="79" spans="1:20" x14ac:dyDescent="0.2">
      <c r="A79" s="27"/>
      <c r="B79" s="433"/>
      <c r="C79" s="433"/>
      <c r="D79" s="266" t="s">
        <v>62</v>
      </c>
      <c r="E79" s="266" t="s">
        <v>287</v>
      </c>
      <c r="J79" s="27"/>
      <c r="K79" s="27"/>
      <c r="L79" s="27"/>
      <c r="M79" s="27"/>
      <c r="N79" s="27"/>
      <c r="O79" s="27"/>
    </row>
    <row r="80" spans="1:20" ht="15" customHeight="1" x14ac:dyDescent="0.2">
      <c r="A80" s="27"/>
      <c r="B80" s="267" t="s">
        <v>59</v>
      </c>
      <c r="C80" s="268"/>
      <c r="D80" s="270">
        <v>9.8000000000000007</v>
      </c>
      <c r="E80" s="289">
        <v>0.7</v>
      </c>
      <c r="F80" s="53" t="s">
        <v>117</v>
      </c>
      <c r="G80" s="422"/>
      <c r="H80" s="422"/>
      <c r="I80" s="422"/>
      <c r="J80" s="422"/>
      <c r="K80" s="422"/>
      <c r="L80" s="422"/>
      <c r="M80" s="422"/>
      <c r="N80" s="27"/>
    </row>
    <row r="81" spans="1:30" x14ac:dyDescent="0.2">
      <c r="A81" s="27"/>
      <c r="B81" s="267" t="s">
        <v>60</v>
      </c>
      <c r="C81" s="268"/>
      <c r="D81" s="270">
        <v>9.8000000000000007</v>
      </c>
      <c r="E81" s="270">
        <v>0.79800000000000004</v>
      </c>
      <c r="F81" s="53" t="s">
        <v>116</v>
      </c>
      <c r="G81" s="422"/>
      <c r="H81" s="422"/>
      <c r="I81" s="422"/>
      <c r="J81" s="422"/>
      <c r="K81" s="422"/>
      <c r="L81" s="422"/>
      <c r="M81" s="422"/>
      <c r="N81" s="27"/>
    </row>
    <row r="82" spans="1:30" ht="46" customHeight="1" x14ac:dyDescent="0.2">
      <c r="A82" s="27"/>
      <c r="B82" s="27"/>
      <c r="C82" s="27"/>
      <c r="D82" s="27"/>
      <c r="E82" s="27"/>
      <c r="F82" s="27"/>
      <c r="G82" s="27"/>
      <c r="H82" s="27"/>
      <c r="I82" s="27"/>
      <c r="J82" s="27"/>
      <c r="K82" s="27"/>
      <c r="L82" s="27"/>
      <c r="M82" s="27"/>
      <c r="N82" s="27"/>
      <c r="O82" s="27"/>
      <c r="P82" s="27"/>
    </row>
    <row r="83" spans="1:30" x14ac:dyDescent="0.2">
      <c r="A83" s="27"/>
      <c r="B83" s="212" t="s">
        <v>305</v>
      </c>
      <c r="C83" s="38"/>
      <c r="D83" s="27"/>
      <c r="E83" s="27"/>
      <c r="F83" s="27"/>
      <c r="G83" s="27"/>
      <c r="H83" s="27"/>
      <c r="I83" s="27"/>
      <c r="J83" s="27"/>
      <c r="K83" s="27"/>
      <c r="L83" s="27"/>
      <c r="M83" s="27"/>
      <c r="N83" s="27"/>
      <c r="O83" s="27"/>
      <c r="P83" s="27"/>
      <c r="Q83" s="27"/>
    </row>
    <row r="84" spans="1:30" x14ac:dyDescent="0.2">
      <c r="A84" s="27"/>
      <c r="B84" s="412" t="s">
        <v>212</v>
      </c>
      <c r="C84" s="412" t="s">
        <v>92</v>
      </c>
      <c r="D84" s="421" t="s">
        <v>93</v>
      </c>
      <c r="E84" s="193"/>
      <c r="F84" s="420" t="s">
        <v>129</v>
      </c>
      <c r="G84" s="420"/>
      <c r="H84" s="423" t="s">
        <v>111</v>
      </c>
      <c r="I84" s="424"/>
      <c r="J84" s="424"/>
      <c r="K84" s="424"/>
      <c r="L84" s="424"/>
      <c r="M84" s="424"/>
      <c r="N84" s="425"/>
      <c r="O84" s="420" t="s">
        <v>118</v>
      </c>
      <c r="P84" s="420"/>
      <c r="Q84" s="420"/>
      <c r="R84" s="420"/>
      <c r="S84" s="434" t="s">
        <v>101</v>
      </c>
      <c r="T84" s="435"/>
      <c r="U84" s="436"/>
      <c r="V84" s="420" t="s">
        <v>128</v>
      </c>
      <c r="W84" s="420"/>
      <c r="X84" s="420"/>
      <c r="Y84" s="420"/>
      <c r="Z84" s="420"/>
      <c r="AA84" s="420"/>
      <c r="AB84" s="420"/>
      <c r="AC84" s="420"/>
      <c r="AD84" s="429" t="s">
        <v>301</v>
      </c>
    </row>
    <row r="85" spans="1:30" s="206" customFormat="1" ht="60" customHeight="1" x14ac:dyDescent="0.2">
      <c r="A85" s="203"/>
      <c r="B85" s="412"/>
      <c r="C85" s="412"/>
      <c r="D85" s="421"/>
      <c r="E85" s="204" t="s">
        <v>272</v>
      </c>
      <c r="F85" s="204" t="s">
        <v>284</v>
      </c>
      <c r="G85" s="204" t="s">
        <v>285</v>
      </c>
      <c r="H85" s="204" t="s">
        <v>108</v>
      </c>
      <c r="I85" s="204" t="s">
        <v>109</v>
      </c>
      <c r="J85" s="205" t="s">
        <v>4</v>
      </c>
      <c r="K85" s="205" t="s">
        <v>280</v>
      </c>
      <c r="L85" s="426" t="s">
        <v>101</v>
      </c>
      <c r="M85" s="427"/>
      <c r="N85" s="428"/>
      <c r="O85" s="204" t="s">
        <v>108</v>
      </c>
      <c r="P85" s="204" t="s">
        <v>109</v>
      </c>
      <c r="Q85" s="205" t="s">
        <v>4</v>
      </c>
      <c r="R85" s="205" t="s">
        <v>280</v>
      </c>
      <c r="S85" s="437"/>
      <c r="T85" s="438"/>
      <c r="U85" s="439"/>
      <c r="V85" s="204" t="s">
        <v>7</v>
      </c>
      <c r="W85" s="204" t="s">
        <v>8</v>
      </c>
      <c r="X85" s="220" t="s">
        <v>7</v>
      </c>
      <c r="Y85" s="220" t="s">
        <v>135</v>
      </c>
      <c r="Z85" s="220" t="s">
        <v>7</v>
      </c>
      <c r="AA85" s="220" t="s">
        <v>135</v>
      </c>
      <c r="AB85" s="204" t="s">
        <v>9</v>
      </c>
      <c r="AC85" s="204" t="s">
        <v>10</v>
      </c>
      <c r="AD85" s="430"/>
    </row>
    <row r="86" spans="1:30" ht="15" x14ac:dyDescent="0.2">
      <c r="A86" s="189"/>
      <c r="B86" s="412"/>
      <c r="C86" s="412"/>
      <c r="D86" s="421"/>
      <c r="E86" s="201"/>
      <c r="F86" s="202"/>
      <c r="G86" s="202"/>
      <c r="H86" s="194" t="s">
        <v>12</v>
      </c>
      <c r="I86" s="194" t="s">
        <v>12</v>
      </c>
      <c r="J86" s="194" t="s">
        <v>11</v>
      </c>
      <c r="K86" s="194" t="s">
        <v>281</v>
      </c>
      <c r="L86" s="194" t="s">
        <v>282</v>
      </c>
      <c r="M86" s="194" t="s">
        <v>283</v>
      </c>
      <c r="N86" s="194" t="s">
        <v>281</v>
      </c>
      <c r="O86" s="194" t="s">
        <v>12</v>
      </c>
      <c r="P86" s="194" t="s">
        <v>12</v>
      </c>
      <c r="Q86" s="194" t="s">
        <v>113</v>
      </c>
      <c r="R86" s="194" t="s">
        <v>279</v>
      </c>
      <c r="S86" s="219" t="s">
        <v>282</v>
      </c>
      <c r="T86" s="219" t="s">
        <v>283</v>
      </c>
      <c r="U86" s="194" t="s">
        <v>279</v>
      </c>
      <c r="V86" s="194" t="s">
        <v>276</v>
      </c>
      <c r="W86" s="194" t="s">
        <v>276</v>
      </c>
      <c r="X86" s="219" t="s">
        <v>277</v>
      </c>
      <c r="Y86" s="219" t="s">
        <v>277</v>
      </c>
      <c r="Z86" s="219" t="s">
        <v>278</v>
      </c>
      <c r="AA86" s="219" t="s">
        <v>278</v>
      </c>
      <c r="AB86" s="194" t="s">
        <v>276</v>
      </c>
      <c r="AC86" s="194" t="s">
        <v>276</v>
      </c>
      <c r="AD86" s="430"/>
    </row>
    <row r="87" spans="1:30" ht="15" x14ac:dyDescent="0.2">
      <c r="A87" s="33"/>
      <c r="B87" s="248" t="s">
        <v>193</v>
      </c>
      <c r="C87" s="207" t="s">
        <v>13</v>
      </c>
      <c r="D87" s="208" t="s">
        <v>14</v>
      </c>
      <c r="E87" s="199"/>
      <c r="F87" s="199"/>
      <c r="G87" s="200"/>
      <c r="H87" s="197"/>
      <c r="I87" s="113"/>
      <c r="J87" s="115">
        <v>0.01</v>
      </c>
      <c r="K87" s="117">
        <f>ROUND(IF(J87&gt;0,44.01*J87/12.011,44.01*0.01/12.011),3)</f>
        <v>3.6999999999999998E-2</v>
      </c>
      <c r="L87" s="120" t="s">
        <v>95</v>
      </c>
      <c r="M87" s="120" t="s">
        <v>95</v>
      </c>
      <c r="N87" s="122"/>
      <c r="O87" s="130"/>
      <c r="P87" s="130"/>
      <c r="Q87" s="130"/>
      <c r="R87" s="198" t="str">
        <f>IF(Q87&gt;0,ROUND(44.01*Q87/12.011,6),"na")</f>
        <v>na</v>
      </c>
      <c r="S87" s="195"/>
      <c r="T87" s="195" t="s">
        <v>95</v>
      </c>
      <c r="U87" s="196"/>
      <c r="V87" s="190">
        <f t="shared" ref="V87:V115" si="0">ROUND(IF($R87&lt;&gt;"na",$R87,$K87)*($F87-$G87),6)</f>
        <v>0</v>
      </c>
      <c r="W87" s="191"/>
      <c r="X87" s="271">
        <f>IFERROR(ROUND(IF($S87&lt;&gt;"",$S87,$L87)*($E87+$F87-$G87),6),0)</f>
        <v>0</v>
      </c>
      <c r="Y87" s="272"/>
      <c r="Z87" s="271">
        <f>IFERROR(ROUND(IF($T87&lt;&gt;"",$T87,$M87)*($E87+$F87-$G87),6),0)</f>
        <v>0</v>
      </c>
      <c r="AA87" s="272"/>
      <c r="AB87" s="191"/>
      <c r="AC87" s="192">
        <f t="shared" ref="AC87:AC118" si="1">ROUND(IF($U87&lt;&gt;"",$U87,$N87)*($F87-$G87),6)</f>
        <v>0</v>
      </c>
      <c r="AD87" s="249"/>
    </row>
    <row r="88" spans="1:30" ht="15" x14ac:dyDescent="0.2">
      <c r="A88" s="33"/>
      <c r="B88" s="250" t="s">
        <v>210</v>
      </c>
      <c r="C88" s="210" t="s">
        <v>15</v>
      </c>
      <c r="D88" s="211" t="s">
        <v>14</v>
      </c>
      <c r="E88" s="199"/>
      <c r="F88" s="154"/>
      <c r="G88" s="155"/>
      <c r="H88" s="51">
        <v>32.200000000000003</v>
      </c>
      <c r="I88" s="50"/>
      <c r="J88" s="50">
        <f>ROUND(3.059*12.011/44.01,3)</f>
        <v>0.83499999999999996</v>
      </c>
      <c r="K88" s="48">
        <f>ROUND(IF(J88&gt;0,44.01*J88/12.011,IF(H88&gt;0, H88, 32.2)*0.095),3)</f>
        <v>3.06</v>
      </c>
      <c r="L88" s="87">
        <v>2.8199999999999997E-4</v>
      </c>
      <c r="M88" s="87">
        <v>4.2000000000000004E-5</v>
      </c>
      <c r="N88" s="86">
        <v>0.37</v>
      </c>
      <c r="O88" s="130"/>
      <c r="P88" s="130"/>
      <c r="Q88" s="130"/>
      <c r="R88" s="56" t="str">
        <f>IF(Q88&gt;0,ROUND(44.01*Q88/12.011,6),IF(SUM(O88,P88)&gt;0, ROUND(SUM(O88,P88)*0.095,6),"na"))</f>
        <v>na</v>
      </c>
      <c r="S88" s="273"/>
      <c r="T88" s="273"/>
      <c r="U88" s="47"/>
      <c r="V88" s="43">
        <f t="shared" si="0"/>
        <v>0</v>
      </c>
      <c r="W88" s="43"/>
      <c r="X88" s="273">
        <f t="shared" ref="X88:X155" si="2">IFERROR(ROUND(IF($S88&lt;&gt;"",$S88,$L88)*($E88+$F88-$G88),6),0)</f>
        <v>0</v>
      </c>
      <c r="Y88" s="273"/>
      <c r="Z88" s="273">
        <f t="shared" ref="Z88:Z155" si="3">IFERROR(ROUND(IF($T88&lt;&gt;"",$T88,$M88)*($E88+$F88-$G88),6),0)</f>
        <v>0</v>
      </c>
      <c r="AA88" s="273"/>
      <c r="AB88" s="43"/>
      <c r="AC88" s="90">
        <f t="shared" si="1"/>
        <v>0</v>
      </c>
      <c r="AD88" s="249"/>
    </row>
    <row r="89" spans="1:30" ht="15" x14ac:dyDescent="0.2">
      <c r="A89" s="33"/>
      <c r="B89" s="250" t="s">
        <v>210</v>
      </c>
      <c r="C89" s="210" t="s">
        <v>16</v>
      </c>
      <c r="D89" s="211" t="s">
        <v>14</v>
      </c>
      <c r="E89" s="199"/>
      <c r="F89" s="154"/>
      <c r="G89" s="155"/>
      <c r="H89" s="51">
        <v>31.1</v>
      </c>
      <c r="I89" s="50"/>
      <c r="J89" s="50">
        <f>ROUND(2.955*12.011/44.01,3)</f>
        <v>0.80600000000000005</v>
      </c>
      <c r="K89" s="48">
        <f>ROUND(IF(J89&gt;0,44.01*J89/12.011,IF(H89&gt;0, H89,31.1)*0.095),3)</f>
        <v>2.9529999999999998</v>
      </c>
      <c r="L89" s="87">
        <v>2.8199999999999997E-4</v>
      </c>
      <c r="M89" s="87">
        <v>3.8999999999999999E-5</v>
      </c>
      <c r="N89" s="86">
        <v>0.37</v>
      </c>
      <c r="O89" s="130"/>
      <c r="P89" s="130"/>
      <c r="Q89" s="130"/>
      <c r="R89" s="56" t="str">
        <f>IF(Q89&gt;0,ROUND(44.01*Q89/12.011,6),IF(SUM(O89,P89)&gt;0, ROUND(SUM(O89,P89)*0.095,6),"na"))</f>
        <v>na</v>
      </c>
      <c r="S89" s="273"/>
      <c r="T89" s="273"/>
      <c r="U89" s="47"/>
      <c r="V89" s="43">
        <f t="shared" si="0"/>
        <v>0</v>
      </c>
      <c r="W89" s="43"/>
      <c r="X89" s="273">
        <f t="shared" si="2"/>
        <v>0</v>
      </c>
      <c r="Y89" s="273"/>
      <c r="Z89" s="273">
        <f t="shared" si="3"/>
        <v>0</v>
      </c>
      <c r="AA89" s="273"/>
      <c r="AB89" s="43"/>
      <c r="AC89" s="90">
        <f t="shared" si="1"/>
        <v>0</v>
      </c>
      <c r="AD89" s="249"/>
    </row>
    <row r="90" spans="1:30" ht="15" x14ac:dyDescent="0.2">
      <c r="A90" s="33"/>
      <c r="B90" s="250" t="s">
        <v>210</v>
      </c>
      <c r="C90" s="210" t="s">
        <v>17</v>
      </c>
      <c r="D90" s="211" t="s">
        <v>14</v>
      </c>
      <c r="E90" s="199"/>
      <c r="F90" s="154"/>
      <c r="G90" s="155"/>
      <c r="H90" s="51">
        <v>29.3</v>
      </c>
      <c r="I90" s="50"/>
      <c r="J90" s="50">
        <f>ROUND(2.784*12.011/44.01,3)</f>
        <v>0.76</v>
      </c>
      <c r="K90" s="48">
        <f>ROUND(IF(J90&gt;0,44.01*J90/12.011,IF(H90&gt;0, H90,29.3)*0.095),3)</f>
        <v>2.7850000000000001</v>
      </c>
      <c r="L90" s="87">
        <v>2.5799999999999998E-4</v>
      </c>
      <c r="M90" s="87">
        <v>3.8999999999999999E-5</v>
      </c>
      <c r="N90" s="86">
        <v>0.37</v>
      </c>
      <c r="O90" s="130"/>
      <c r="P90" s="130"/>
      <c r="Q90" s="130"/>
      <c r="R90" s="56" t="str">
        <f>IF(Q90&gt;0,ROUND(44.01*Q90/12.011,6),IF(SUM(O90,P90)&gt;0, ROUND(SUM(O90,P90)*0.095,6),"na"))</f>
        <v>na</v>
      </c>
      <c r="S90" s="273"/>
      <c r="T90" s="273"/>
      <c r="U90" s="47"/>
      <c r="V90" s="43">
        <f t="shared" si="0"/>
        <v>0</v>
      </c>
      <c r="W90" s="43"/>
      <c r="X90" s="273">
        <f>IFERROR(ROUND(IF($S90&lt;&gt;"",$S90,$L90)*($E90+$F90-$G90),6),0)</f>
        <v>0</v>
      </c>
      <c r="Y90" s="273"/>
      <c r="Z90" s="273">
        <f t="shared" si="3"/>
        <v>0</v>
      </c>
      <c r="AA90" s="273"/>
      <c r="AB90" s="43"/>
      <c r="AC90" s="90">
        <f t="shared" si="1"/>
        <v>0</v>
      </c>
      <c r="AD90" s="249"/>
    </row>
    <row r="91" spans="1:30" ht="15" x14ac:dyDescent="0.2">
      <c r="A91" s="33"/>
      <c r="B91" s="250" t="s">
        <v>210</v>
      </c>
      <c r="C91" s="210" t="s">
        <v>18</v>
      </c>
      <c r="D91" s="211" t="s">
        <v>14</v>
      </c>
      <c r="E91" s="199"/>
      <c r="F91" s="154"/>
      <c r="G91" s="155"/>
      <c r="H91" s="51">
        <v>25.9</v>
      </c>
      <c r="I91" s="50"/>
      <c r="J91" s="50">
        <f>ROUND(2.461*12.011/44.01,3)</f>
        <v>0.67200000000000004</v>
      </c>
      <c r="K91" s="48">
        <f>ROUND(IF(J91&gt;0,44.01*J91/12.011,IF(H91&gt;0, H91,25.9)*0.095),3)</f>
        <v>2.4620000000000002</v>
      </c>
      <c r="L91" s="87">
        <v>2.5799999999999998E-4</v>
      </c>
      <c r="M91" s="87">
        <v>3.8999999999999999E-5</v>
      </c>
      <c r="N91" s="86">
        <v>0.37</v>
      </c>
      <c r="O91" s="130"/>
      <c r="P91" s="130"/>
      <c r="Q91" s="130"/>
      <c r="R91" s="56" t="str">
        <f>IF(Q91&gt;0,ROUND(44.01*Q91/12.011,6),IF(SUM(O91,P91)&gt;0, ROUND(SUM(O91,P91)*0.095,6),"na"))</f>
        <v>na</v>
      </c>
      <c r="S91" s="273"/>
      <c r="T91" s="273"/>
      <c r="U91" s="47"/>
      <c r="V91" s="43">
        <f t="shared" si="0"/>
        <v>0</v>
      </c>
      <c r="W91" s="43"/>
      <c r="X91" s="273">
        <f t="shared" si="2"/>
        <v>0</v>
      </c>
      <c r="Y91" s="273"/>
      <c r="Z91" s="273">
        <f t="shared" si="3"/>
        <v>0</v>
      </c>
      <c r="AA91" s="273"/>
      <c r="AB91" s="43"/>
      <c r="AC91" s="90">
        <f t="shared" si="1"/>
        <v>0</v>
      </c>
      <c r="AD91" s="249"/>
    </row>
    <row r="92" spans="1:30" ht="15" x14ac:dyDescent="0.2">
      <c r="A92" s="33"/>
      <c r="B92" s="250" t="s">
        <v>210</v>
      </c>
      <c r="C92" s="210" t="s">
        <v>19</v>
      </c>
      <c r="D92" s="211" t="s">
        <v>14</v>
      </c>
      <c r="E92" s="199"/>
      <c r="F92" s="154"/>
      <c r="G92" s="155"/>
      <c r="H92" s="51">
        <v>30.1</v>
      </c>
      <c r="I92" s="50"/>
      <c r="J92" s="50">
        <f>ROUND(3.257*12.011/44.01,3)</f>
        <v>0.88900000000000001</v>
      </c>
      <c r="K92" s="48">
        <f>ROUND(IF(J92&gt;0,44.01*J92/12.011,IF(H92&gt;0, H92,30.1)*0.1082),3)</f>
        <v>3.2570000000000001</v>
      </c>
      <c r="L92" s="87">
        <v>2.5799999999999998E-4</v>
      </c>
      <c r="M92" s="87">
        <v>3.8999999999999999E-5</v>
      </c>
      <c r="N92" s="86">
        <v>0.37</v>
      </c>
      <c r="O92" s="130"/>
      <c r="P92" s="130"/>
      <c r="Q92" s="130"/>
      <c r="R92" s="56" t="str">
        <f>IF(Q92&gt;0,ROUND(44.01*Q92/12.011,6),IF(SUM(O92,P92)&gt;0, ROUND(SUM(O92,P92)*0.1082,6),"na"))</f>
        <v>na</v>
      </c>
      <c r="S92" s="273"/>
      <c r="T92" s="273"/>
      <c r="U92" s="47"/>
      <c r="V92" s="43">
        <f t="shared" si="0"/>
        <v>0</v>
      </c>
      <c r="W92" s="43"/>
      <c r="X92" s="273">
        <f t="shared" si="2"/>
        <v>0</v>
      </c>
      <c r="Y92" s="273"/>
      <c r="Z92" s="273">
        <f t="shared" si="3"/>
        <v>0</v>
      </c>
      <c r="AA92" s="273"/>
      <c r="AB92" s="43"/>
      <c r="AC92" s="90">
        <f t="shared" si="1"/>
        <v>0</v>
      </c>
      <c r="AD92" s="249"/>
    </row>
    <row r="93" spans="1:30" ht="15" x14ac:dyDescent="0.2">
      <c r="A93" s="33"/>
      <c r="B93" s="250" t="s">
        <v>210</v>
      </c>
      <c r="C93" s="210" t="s">
        <v>20</v>
      </c>
      <c r="D93" s="211" t="s">
        <v>14</v>
      </c>
      <c r="E93" s="199"/>
      <c r="F93" s="154"/>
      <c r="G93" s="155"/>
      <c r="H93" s="51">
        <v>31.1</v>
      </c>
      <c r="I93" s="50"/>
      <c r="J93" s="50">
        <f>ROUND(2.955*12.011/44.01,3)</f>
        <v>0.80600000000000005</v>
      </c>
      <c r="K93" s="48">
        <f>ROUND(IF(J93&gt;0,44.01*J93/12.011,IF(H93&gt;0, H93,31.1)*0.095),3)</f>
        <v>2.9529999999999998</v>
      </c>
      <c r="L93" s="87">
        <v>2.5799999999999998E-4</v>
      </c>
      <c r="M93" s="87">
        <v>3.8999999999999999E-5</v>
      </c>
      <c r="N93" s="86">
        <v>0.37</v>
      </c>
      <c r="O93" s="130"/>
      <c r="P93" s="130"/>
      <c r="Q93" s="130"/>
      <c r="R93" s="56" t="str">
        <f>IF(Q93&gt;0,ROUND(44.01*Q93/12.011,6),IF(SUM(O93,P93)&gt;0, ROUND(SUM(O93,P93)*0.095,6),"na"))</f>
        <v>na</v>
      </c>
      <c r="S93" s="273"/>
      <c r="T93" s="273"/>
      <c r="U93" s="47"/>
      <c r="V93" s="43">
        <f t="shared" si="0"/>
        <v>0</v>
      </c>
      <c r="W93" s="43"/>
      <c r="X93" s="273">
        <f t="shared" si="2"/>
        <v>0</v>
      </c>
      <c r="Y93" s="273"/>
      <c r="Z93" s="273">
        <f t="shared" si="3"/>
        <v>0</v>
      </c>
      <c r="AA93" s="273"/>
      <c r="AB93" s="43"/>
      <c r="AC93" s="90">
        <f t="shared" si="1"/>
        <v>0</v>
      </c>
      <c r="AD93" s="249"/>
    </row>
    <row r="94" spans="1:30" ht="15" x14ac:dyDescent="0.2">
      <c r="A94" s="188"/>
      <c r="B94" s="250" t="s">
        <v>210</v>
      </c>
      <c r="C94" s="210" t="s">
        <v>142</v>
      </c>
      <c r="D94" s="211" t="s">
        <v>14</v>
      </c>
      <c r="E94" s="199"/>
      <c r="F94" s="154"/>
      <c r="G94" s="155"/>
      <c r="H94" s="51">
        <v>26.7</v>
      </c>
      <c r="I94" s="50"/>
      <c r="J94" s="50">
        <f>K94*12/44</f>
        <v>0.71563636363636363</v>
      </c>
      <c r="K94" s="48">
        <v>2.6240000000000001</v>
      </c>
      <c r="L94" s="87">
        <v>2.8199999999999997E-4</v>
      </c>
      <c r="M94" s="87">
        <v>4.2000000000000004E-5</v>
      </c>
      <c r="N94" s="86">
        <v>0.37</v>
      </c>
      <c r="O94" s="130"/>
      <c r="P94" s="130"/>
      <c r="Q94" s="130"/>
      <c r="R94" s="56" t="str">
        <f>IF(Q94&gt;0,ROUND(44.01*Q94/12.011,6),IF(SUM(O94,P94)&gt;0, ROUND(SUM(O94,P94)*0.095,6),"na"))</f>
        <v>na</v>
      </c>
      <c r="S94" s="273"/>
      <c r="T94" s="273"/>
      <c r="U94" s="47"/>
      <c r="V94" s="43">
        <f t="shared" si="0"/>
        <v>0</v>
      </c>
      <c r="W94" s="43"/>
      <c r="X94" s="273">
        <f t="shared" si="2"/>
        <v>0</v>
      </c>
      <c r="Y94" s="273"/>
      <c r="Z94" s="273">
        <f t="shared" si="3"/>
        <v>0</v>
      </c>
      <c r="AA94" s="273"/>
      <c r="AB94" s="43"/>
      <c r="AC94" s="90">
        <f t="shared" si="1"/>
        <v>0</v>
      </c>
      <c r="AD94" s="249"/>
    </row>
    <row r="95" spans="1:30" ht="15" x14ac:dyDescent="0.2">
      <c r="B95" s="250" t="s">
        <v>210</v>
      </c>
      <c r="C95" s="210" t="s">
        <v>21</v>
      </c>
      <c r="D95" s="211" t="s">
        <v>14</v>
      </c>
      <c r="E95" s="384">
        <f>F45</f>
        <v>0</v>
      </c>
      <c r="F95" s="384">
        <f>G45</f>
        <v>0</v>
      </c>
      <c r="G95" s="384">
        <f>H45</f>
        <v>0</v>
      </c>
      <c r="H95" s="51">
        <v>30.1</v>
      </c>
      <c r="I95" s="50">
        <v>5.7191117260400208</v>
      </c>
      <c r="J95" s="50">
        <f>ROUND(3.257*12.011/44.01,3)</f>
        <v>0.88900000000000001</v>
      </c>
      <c r="K95" s="48">
        <f>ROUND(IF(J95&gt;0,44.01*J95/12.011,IF(H95&gt;0, H95,30.1)*0.1082),3)</f>
        <v>3.2570000000000001</v>
      </c>
      <c r="L95" s="87">
        <v>5.9000000000000007E-3</v>
      </c>
      <c r="M95" s="87">
        <v>1.18E-4</v>
      </c>
      <c r="N95" s="57">
        <v>0.73599999999999999</v>
      </c>
      <c r="O95" s="130"/>
      <c r="P95" s="130"/>
      <c r="Q95" s="130"/>
      <c r="R95" s="56" t="str">
        <f>IF(Q95&gt;0,ROUND(44.01*Q95/12.011,6),IF(SUM(O95,P95)&gt;0, ROUND(SUM(O95,P95)*0.1082,6),"na"))</f>
        <v>na</v>
      </c>
      <c r="S95" s="273"/>
      <c r="T95" s="273"/>
      <c r="U95" s="47"/>
      <c r="V95" s="43">
        <f t="shared" si="0"/>
        <v>0</v>
      </c>
      <c r="W95" s="43"/>
      <c r="X95" s="273">
        <f t="shared" si="2"/>
        <v>0</v>
      </c>
      <c r="Y95" s="273"/>
      <c r="Z95" s="273">
        <f t="shared" si="3"/>
        <v>0</v>
      </c>
      <c r="AA95" s="273"/>
      <c r="AB95" s="43"/>
      <c r="AC95" s="44">
        <f t="shared" si="1"/>
        <v>0</v>
      </c>
      <c r="AD95" s="249"/>
    </row>
    <row r="96" spans="1:30" ht="15" x14ac:dyDescent="0.2">
      <c r="A96" s="33"/>
      <c r="B96" s="250" t="s">
        <v>210</v>
      </c>
      <c r="C96" s="210" t="s">
        <v>22</v>
      </c>
      <c r="D96" s="211" t="s">
        <v>14</v>
      </c>
      <c r="E96" s="199"/>
      <c r="F96" s="154"/>
      <c r="G96" s="155"/>
      <c r="H96" s="49">
        <v>18.8</v>
      </c>
      <c r="I96" s="48"/>
      <c r="J96" s="50"/>
      <c r="K96" s="48"/>
      <c r="L96" s="87">
        <v>9.800000000000001E-5</v>
      </c>
      <c r="M96" s="87">
        <v>2.0000000000000002E-5</v>
      </c>
      <c r="N96" s="57"/>
      <c r="O96" s="130"/>
      <c r="P96" s="130"/>
      <c r="Q96" s="130"/>
      <c r="R96" s="57"/>
      <c r="S96" s="273"/>
      <c r="T96" s="273"/>
      <c r="U96" s="47"/>
      <c r="V96" s="43">
        <f t="shared" si="0"/>
        <v>0</v>
      </c>
      <c r="W96" s="43"/>
      <c r="X96" s="273">
        <f t="shared" si="2"/>
        <v>0</v>
      </c>
      <c r="Y96" s="273"/>
      <c r="Z96" s="273">
        <f t="shared" si="3"/>
        <v>0</v>
      </c>
      <c r="AA96" s="273"/>
      <c r="AB96" s="43"/>
      <c r="AC96" s="44">
        <f t="shared" si="1"/>
        <v>0</v>
      </c>
      <c r="AD96" s="249"/>
    </row>
    <row r="97" spans="1:30" ht="15" x14ac:dyDescent="0.2">
      <c r="A97" s="35"/>
      <c r="B97" s="250" t="s">
        <v>210</v>
      </c>
      <c r="C97" s="210" t="s">
        <v>72</v>
      </c>
      <c r="D97" s="211" t="s">
        <v>27</v>
      </c>
      <c r="E97" s="199"/>
      <c r="F97" s="154"/>
      <c r="G97" s="155"/>
      <c r="H97" s="49">
        <v>31.934999999999999</v>
      </c>
      <c r="I97" s="48"/>
      <c r="J97" s="50">
        <v>0.85</v>
      </c>
      <c r="K97" s="48">
        <f>ROUND(IF(J97&gt;0,44.01*J97/12.011,IF(H97&gt;0, H97,31.935)*0.098),3)</f>
        <v>3.1150000000000002</v>
      </c>
      <c r="L97" s="87">
        <v>2.6999999999999999E-5</v>
      </c>
      <c r="M97" s="87">
        <v>4.0000000000000003E-5</v>
      </c>
      <c r="N97" s="57"/>
      <c r="O97" s="130"/>
      <c r="P97" s="130"/>
      <c r="Q97" s="130"/>
      <c r="R97" s="56" t="str">
        <f>IF(Q97&gt;0,ROUND(44.01*Q97/12.011,6),IF(SUM(O97,P97)&gt;0, ROUND(SUM(O97,P97)*0.098,6),"na"))</f>
        <v>na</v>
      </c>
      <c r="S97" s="273"/>
      <c r="T97" s="273"/>
      <c r="U97" s="47"/>
      <c r="V97" s="43">
        <f t="shared" si="0"/>
        <v>0</v>
      </c>
      <c r="W97" s="43"/>
      <c r="X97" s="273">
        <f t="shared" si="2"/>
        <v>0</v>
      </c>
      <c r="Y97" s="273"/>
      <c r="Z97" s="273">
        <f t="shared" si="3"/>
        <v>0</v>
      </c>
      <c r="AA97" s="273"/>
      <c r="AB97" s="43"/>
      <c r="AC97" s="44">
        <f t="shared" si="1"/>
        <v>0</v>
      </c>
      <c r="AD97" s="249"/>
    </row>
    <row r="98" spans="1:30" ht="15" x14ac:dyDescent="0.2">
      <c r="A98" s="35"/>
      <c r="B98" s="250" t="s">
        <v>193</v>
      </c>
      <c r="C98" s="210" t="s">
        <v>89</v>
      </c>
      <c r="D98" s="211" t="s">
        <v>27</v>
      </c>
      <c r="E98" s="199"/>
      <c r="F98" s="154"/>
      <c r="G98" s="155"/>
      <c r="H98" s="49">
        <v>46</v>
      </c>
      <c r="I98" s="48"/>
      <c r="J98" s="58"/>
      <c r="K98" s="48">
        <f>IF(H98&gt;0,ROUND(H98*0.052521739,3),ROUND(2.4158,3))</f>
        <v>2.4159999999999999</v>
      </c>
      <c r="L98" s="87" t="s">
        <v>95</v>
      </c>
      <c r="M98" s="87" t="s">
        <v>95</v>
      </c>
      <c r="N98" s="57"/>
      <c r="O98" s="130"/>
      <c r="P98" s="130"/>
      <c r="Q98" s="130"/>
      <c r="R98" s="56" t="str">
        <f>IF(SUM(O98,P98)&gt;0,ROUND(SUM(O98,P98)*0.052521739,6),"na")</f>
        <v>na</v>
      </c>
      <c r="S98" s="273"/>
      <c r="T98" s="273"/>
      <c r="U98" s="47"/>
      <c r="V98" s="43">
        <f t="shared" si="0"/>
        <v>0</v>
      </c>
      <c r="W98" s="43"/>
      <c r="X98" s="273">
        <f t="shared" si="2"/>
        <v>0</v>
      </c>
      <c r="Y98" s="273"/>
      <c r="Z98" s="273">
        <f t="shared" si="3"/>
        <v>0</v>
      </c>
      <c r="AA98" s="273"/>
      <c r="AB98" s="43"/>
      <c r="AC98" s="44">
        <f t="shared" si="1"/>
        <v>0</v>
      </c>
      <c r="AD98" s="249"/>
    </row>
    <row r="99" spans="1:30" ht="15" x14ac:dyDescent="0.2">
      <c r="A99" s="35"/>
      <c r="B99" s="250" t="s">
        <v>193</v>
      </c>
      <c r="C99" s="210" t="s">
        <v>88</v>
      </c>
      <c r="D99" s="211" t="s">
        <v>27</v>
      </c>
      <c r="E99" s="199"/>
      <c r="F99" s="154"/>
      <c r="G99" s="155"/>
      <c r="H99" s="49">
        <v>35</v>
      </c>
      <c r="I99" s="48"/>
      <c r="J99" s="58"/>
      <c r="K99" s="48">
        <f>IF(H99&gt;0,ROUND(H99*0.062828571,3),ROUND(2.1985,3))</f>
        <v>2.1989999999999998</v>
      </c>
      <c r="L99" s="87" t="s">
        <v>95</v>
      </c>
      <c r="M99" s="87" t="s">
        <v>95</v>
      </c>
      <c r="N99" s="57"/>
      <c r="O99" s="130"/>
      <c r="P99" s="130"/>
      <c r="Q99" s="130"/>
      <c r="R99" s="56" t="str">
        <f>IF(SUM(O99,P99)&gt;0,ROUND(SUM(O99,P99)*0.062828571,6),"na")</f>
        <v>na</v>
      </c>
      <c r="S99" s="273"/>
      <c r="T99" s="273"/>
      <c r="U99" s="47"/>
      <c r="V99" s="43">
        <f t="shared" si="0"/>
        <v>0</v>
      </c>
      <c r="W99" s="43"/>
      <c r="X99" s="273">
        <f t="shared" si="2"/>
        <v>0</v>
      </c>
      <c r="Y99" s="273"/>
      <c r="Z99" s="273">
        <f t="shared" si="3"/>
        <v>0</v>
      </c>
      <c r="AA99" s="273"/>
      <c r="AB99" s="43"/>
      <c r="AC99" s="44">
        <f t="shared" si="1"/>
        <v>0</v>
      </c>
      <c r="AD99" s="249"/>
    </row>
    <row r="100" spans="1:30" ht="17" x14ac:dyDescent="0.2">
      <c r="A100" s="35"/>
      <c r="B100" s="250" t="s">
        <v>197</v>
      </c>
      <c r="C100" s="210" t="s">
        <v>23</v>
      </c>
      <c r="D100" s="211" t="s">
        <v>112</v>
      </c>
      <c r="E100" s="199"/>
      <c r="F100" s="154"/>
      <c r="G100" s="155"/>
      <c r="H100" s="49">
        <v>37.700000000000003</v>
      </c>
      <c r="I100" s="48"/>
      <c r="J100" s="58"/>
      <c r="K100" s="48">
        <f>IF(H100&gt;0,ROUND(H100*0.0771,3),ROUND(37.7*0.0771,3))</f>
        <v>2.907</v>
      </c>
      <c r="L100" s="87">
        <v>1.13E-4</v>
      </c>
      <c r="M100" s="87">
        <v>2.3E-5</v>
      </c>
      <c r="N100" s="57">
        <f>ROUND(IF(N101&gt;0,N101,0.247)*K100/K101,3)</f>
        <v>0.27600000000000002</v>
      </c>
      <c r="O100" s="130"/>
      <c r="P100" s="130"/>
      <c r="Q100" s="130"/>
      <c r="R100" s="56" t="str">
        <f>IF(SUM(O100,P100)&gt;0,ROUND(SUM(O100,P100)*0.0771,6),"na")</f>
        <v>na</v>
      </c>
      <c r="S100" s="273"/>
      <c r="T100" s="273"/>
      <c r="U100" s="47"/>
      <c r="V100" s="43">
        <f t="shared" si="0"/>
        <v>0</v>
      </c>
      <c r="W100" s="43"/>
      <c r="X100" s="273">
        <f t="shared" si="2"/>
        <v>0</v>
      </c>
      <c r="Y100" s="273"/>
      <c r="Z100" s="273">
        <f t="shared" si="3"/>
        <v>0</v>
      </c>
      <c r="AA100" s="273"/>
      <c r="AB100" s="43"/>
      <c r="AC100" s="44">
        <f t="shared" si="1"/>
        <v>0</v>
      </c>
      <c r="AD100" s="249"/>
    </row>
    <row r="101" spans="1:30" ht="17" x14ac:dyDescent="0.2">
      <c r="A101" s="35"/>
      <c r="B101" s="250" t="s">
        <v>197</v>
      </c>
      <c r="C101" s="210" t="s">
        <v>24</v>
      </c>
      <c r="D101" s="211" t="s">
        <v>112</v>
      </c>
      <c r="E101" s="199"/>
      <c r="F101" s="154"/>
      <c r="G101" s="155"/>
      <c r="H101" s="49">
        <v>35.1</v>
      </c>
      <c r="I101" s="48"/>
      <c r="J101" s="58"/>
      <c r="K101" s="48">
        <f>IF(H101&gt;0,ROUND(H101*0.0741,3),ROUND(35.1*0.0741,3))</f>
        <v>2.601</v>
      </c>
      <c r="L101" s="87">
        <v>1.05E-4</v>
      </c>
      <c r="M101" s="87">
        <v>2.0999999999999999E-5</v>
      </c>
      <c r="N101" s="57">
        <f>ROUND(0.85*0.29,3)</f>
        <v>0.247</v>
      </c>
      <c r="O101" s="130"/>
      <c r="P101" s="130"/>
      <c r="Q101" s="130"/>
      <c r="R101" s="56" t="str">
        <f>IF(SUM(O101,P101)&gt;0,ROUND(SUM(O101,P101)*0.0741,3),"na")</f>
        <v>na</v>
      </c>
      <c r="S101" s="273"/>
      <c r="T101" s="273"/>
      <c r="U101" s="47"/>
      <c r="V101" s="43">
        <f t="shared" si="0"/>
        <v>0</v>
      </c>
      <c r="W101" s="43"/>
      <c r="X101" s="273">
        <f t="shared" si="2"/>
        <v>0</v>
      </c>
      <c r="Y101" s="273"/>
      <c r="Z101" s="273">
        <f t="shared" si="3"/>
        <v>0</v>
      </c>
      <c r="AA101" s="273"/>
      <c r="AB101" s="43"/>
      <c r="AC101" s="44">
        <f t="shared" si="1"/>
        <v>0</v>
      </c>
      <c r="AD101" s="249"/>
    </row>
    <row r="102" spans="1:30" ht="17" x14ac:dyDescent="0.2">
      <c r="A102" s="35"/>
      <c r="B102" s="250" t="s">
        <v>197</v>
      </c>
      <c r="C102" s="210" t="s">
        <v>25</v>
      </c>
      <c r="D102" s="211" t="s">
        <v>112</v>
      </c>
      <c r="E102" s="199"/>
      <c r="F102" s="154"/>
      <c r="G102" s="155"/>
      <c r="H102" s="49">
        <v>34.700000000000003</v>
      </c>
      <c r="I102" s="48"/>
      <c r="J102" s="58"/>
      <c r="K102" s="48">
        <f>IF(H102&gt;0,ROUND(H102*0.0715,3),ROUND(34.7*0.0715,3))</f>
        <v>2.4809999999999999</v>
      </c>
      <c r="L102" s="87">
        <v>1.0399999999999999E-4</v>
      </c>
      <c r="M102" s="87">
        <v>2.0999999999999999E-5</v>
      </c>
      <c r="N102" s="57">
        <f>ROUND(0.85*0.29,3)</f>
        <v>0.247</v>
      </c>
      <c r="O102" s="130"/>
      <c r="P102" s="130"/>
      <c r="Q102" s="130"/>
      <c r="R102" s="56" t="str">
        <f>IF(SUM(O102,P102)&gt;0,ROUND(SUM(O102,P102)*0.0715,3),"na")</f>
        <v>na</v>
      </c>
      <c r="S102" s="273"/>
      <c r="T102" s="273"/>
      <c r="U102" s="47"/>
      <c r="V102" s="43">
        <f t="shared" si="0"/>
        <v>0</v>
      </c>
      <c r="W102" s="43"/>
      <c r="X102" s="273">
        <f t="shared" si="2"/>
        <v>0</v>
      </c>
      <c r="Y102" s="273"/>
      <c r="Z102" s="273">
        <f t="shared" si="3"/>
        <v>0</v>
      </c>
      <c r="AA102" s="273"/>
      <c r="AB102" s="43"/>
      <c r="AC102" s="44">
        <f t="shared" si="1"/>
        <v>0</v>
      </c>
      <c r="AD102" s="249"/>
    </row>
    <row r="103" spans="1:30" ht="15" x14ac:dyDescent="0.2">
      <c r="A103" s="35"/>
      <c r="B103" s="250" t="s">
        <v>197</v>
      </c>
      <c r="C103" s="210" t="s">
        <v>26</v>
      </c>
      <c r="D103" s="211" t="s">
        <v>27</v>
      </c>
      <c r="E103" s="199"/>
      <c r="F103" s="154"/>
      <c r="G103" s="155"/>
      <c r="H103" s="49">
        <v>47.3</v>
      </c>
      <c r="I103" s="48"/>
      <c r="J103" s="58"/>
      <c r="K103" s="48">
        <f>IF(H103&gt;0,ROUND(H103*0.0631,3),ROUND(47.3*0.0631,0))</f>
        <v>2.9849999999999999</v>
      </c>
      <c r="L103" s="87">
        <v>4.6999999999999997E-5</v>
      </c>
      <c r="M103" s="87">
        <v>5.0000000000000004E-6</v>
      </c>
      <c r="N103" s="57"/>
      <c r="O103" s="130"/>
      <c r="P103" s="130"/>
      <c r="Q103" s="130"/>
      <c r="R103" s="56" t="str">
        <f>IF(SUM(O103,P103)&gt;0,ROUND(SUM(O103,P103)*0.0631,3),"na")</f>
        <v>na</v>
      </c>
      <c r="S103" s="273"/>
      <c r="T103" s="273"/>
      <c r="U103" s="47"/>
      <c r="V103" s="43">
        <f t="shared" si="0"/>
        <v>0</v>
      </c>
      <c r="W103" s="43"/>
      <c r="X103" s="273">
        <f>IFERROR(ROUND(IF($S103&lt;&gt;"",$S103,$L103)*($E103+$F103-$G103),6),0)</f>
        <v>0</v>
      </c>
      <c r="Y103" s="273"/>
      <c r="Z103" s="273">
        <f t="shared" si="3"/>
        <v>0</v>
      </c>
      <c r="AA103" s="273"/>
      <c r="AB103" s="43"/>
      <c r="AC103" s="44">
        <f t="shared" si="1"/>
        <v>0</v>
      </c>
      <c r="AD103" s="249"/>
    </row>
    <row r="104" spans="1:30" ht="17" x14ac:dyDescent="0.2">
      <c r="A104" s="35"/>
      <c r="B104" s="250" t="s">
        <v>197</v>
      </c>
      <c r="C104" s="210" t="s">
        <v>28</v>
      </c>
      <c r="D104" s="211" t="s">
        <v>115</v>
      </c>
      <c r="E104" s="199"/>
      <c r="F104" s="154"/>
      <c r="G104" s="155"/>
      <c r="H104" s="51">
        <v>35.9</v>
      </c>
      <c r="I104" s="50"/>
      <c r="J104" s="50">
        <f>ROUND(2.014*12.011/44.01,3)</f>
        <v>0.55000000000000004</v>
      </c>
      <c r="K104" s="48">
        <f>ROUND(IF(J104&gt;0,44.01*J104/12.011,IF(H104&gt;0, H104,35.9)*0.0561),3)</f>
        <v>2.0150000000000001</v>
      </c>
      <c r="L104" s="87">
        <v>1.08E-4</v>
      </c>
      <c r="M104" s="87">
        <v>2.1999999999999999E-5</v>
      </c>
      <c r="N104" s="57">
        <f>ROUND(K104*0.33,3)</f>
        <v>0.66500000000000004</v>
      </c>
      <c r="O104" s="130"/>
      <c r="P104" s="130"/>
      <c r="Q104" s="130"/>
      <c r="R104" s="56" t="str">
        <f>IF(Q104&gt;0,ROUND(44.01*Q104/12.011,6),IF(SUM(O104,P104)&gt;0, ROUND(SUM(O104,P104)*0.0561,6),"na"))</f>
        <v>na</v>
      </c>
      <c r="S104" s="273"/>
      <c r="T104" s="273"/>
      <c r="U104" s="47"/>
      <c r="V104" s="43">
        <f t="shared" si="0"/>
        <v>0</v>
      </c>
      <c r="W104" s="43"/>
      <c r="X104" s="273">
        <f t="shared" si="2"/>
        <v>0</v>
      </c>
      <c r="Y104" s="273"/>
      <c r="Z104" s="273">
        <f t="shared" si="3"/>
        <v>0</v>
      </c>
      <c r="AA104" s="273"/>
      <c r="AB104" s="43"/>
      <c r="AC104" s="44">
        <f t="shared" si="1"/>
        <v>0</v>
      </c>
      <c r="AD104" s="249"/>
    </row>
    <row r="105" spans="1:30" ht="15" x14ac:dyDescent="0.2">
      <c r="A105" s="35"/>
      <c r="B105" s="250" t="s">
        <v>197</v>
      </c>
      <c r="C105" s="210" t="s">
        <v>29</v>
      </c>
      <c r="D105" s="385" t="s">
        <v>115</v>
      </c>
      <c r="E105" s="199"/>
      <c r="F105" s="154"/>
      <c r="G105" s="155"/>
      <c r="H105" s="51">
        <v>35.9</v>
      </c>
      <c r="I105" s="50"/>
      <c r="J105" s="50">
        <f>ROUND(2.014*12.011/44.01,3)</f>
        <v>0.55000000000000004</v>
      </c>
      <c r="K105" s="48">
        <f>ROUND(IF(J105&gt;0,44.01*J105/12.011,IF(H105&gt;0, H105,35.9)*0.0561),3)</f>
        <v>2.0150000000000001</v>
      </c>
      <c r="L105" s="87">
        <v>3.6000000000000001E-5</v>
      </c>
      <c r="M105" s="87">
        <v>3.9999999999999998E-6</v>
      </c>
      <c r="N105" s="86">
        <v>0.6</v>
      </c>
      <c r="O105" s="130"/>
      <c r="P105" s="130"/>
      <c r="Q105" s="130"/>
      <c r="R105" s="56" t="str">
        <f>IF(Q105&gt;0,ROUND(44.01*Q105/12.011,6),IF(SUM(O105,P105)&gt;0, ROUND(SUM(O105,P105)*0.0561,6),"na"))</f>
        <v>na</v>
      </c>
      <c r="S105" s="273"/>
      <c r="T105" s="273"/>
      <c r="U105" s="47"/>
      <c r="V105" s="43">
        <f t="shared" si="0"/>
        <v>0</v>
      </c>
      <c r="W105" s="43"/>
      <c r="X105" s="273">
        <f t="shared" si="2"/>
        <v>0</v>
      </c>
      <c r="Y105" s="273"/>
      <c r="Z105" s="273">
        <f t="shared" si="3"/>
        <v>0</v>
      </c>
      <c r="AA105" s="273"/>
      <c r="AB105" s="43"/>
      <c r="AC105" s="90">
        <f t="shared" si="1"/>
        <v>0</v>
      </c>
      <c r="AD105" s="249"/>
    </row>
    <row r="106" spans="1:30" ht="15" x14ac:dyDescent="0.2">
      <c r="A106" s="35"/>
      <c r="B106" s="250" t="s">
        <v>197</v>
      </c>
      <c r="C106" s="210" t="s">
        <v>73</v>
      </c>
      <c r="D106" s="211" t="s">
        <v>27</v>
      </c>
      <c r="E106" s="199"/>
      <c r="F106" s="154"/>
      <c r="G106" s="155"/>
      <c r="H106" s="49">
        <v>120</v>
      </c>
      <c r="I106" s="48"/>
      <c r="J106" s="58"/>
      <c r="K106" s="48"/>
      <c r="L106" s="87" t="s">
        <v>95</v>
      </c>
      <c r="M106" s="87" t="s">
        <v>95</v>
      </c>
      <c r="N106" s="57">
        <v>0</v>
      </c>
      <c r="O106" s="130"/>
      <c r="P106" s="130"/>
      <c r="Q106" s="130"/>
      <c r="R106" s="48"/>
      <c r="S106" s="273"/>
      <c r="T106" s="273"/>
      <c r="U106" s="45"/>
      <c r="V106" s="43">
        <f t="shared" si="0"/>
        <v>0</v>
      </c>
      <c r="W106" s="43"/>
      <c r="X106" s="273">
        <f t="shared" si="2"/>
        <v>0</v>
      </c>
      <c r="Y106" s="273"/>
      <c r="Z106" s="273">
        <f t="shared" si="3"/>
        <v>0</v>
      </c>
      <c r="AA106" s="273"/>
      <c r="AB106" s="43"/>
      <c r="AC106" s="44">
        <f t="shared" si="1"/>
        <v>0</v>
      </c>
      <c r="AD106" s="249"/>
    </row>
    <row r="107" spans="1:30" ht="15" x14ac:dyDescent="0.2">
      <c r="A107" s="35"/>
      <c r="B107" s="250" t="s">
        <v>197</v>
      </c>
      <c r="C107" s="210" t="s">
        <v>74</v>
      </c>
      <c r="D107" s="211" t="s">
        <v>27</v>
      </c>
      <c r="E107" s="199"/>
      <c r="F107" s="154"/>
      <c r="G107" s="155"/>
      <c r="H107" s="49">
        <v>120</v>
      </c>
      <c r="I107" s="48"/>
      <c r="J107" s="58"/>
      <c r="K107" s="48"/>
      <c r="L107" s="87" t="s">
        <v>95</v>
      </c>
      <c r="M107" s="87" t="s">
        <v>95</v>
      </c>
      <c r="N107" s="57">
        <v>1.8</v>
      </c>
      <c r="O107" s="130"/>
      <c r="P107" s="130"/>
      <c r="Q107" s="130"/>
      <c r="R107" s="48"/>
      <c r="S107" s="273"/>
      <c r="T107" s="273"/>
      <c r="U107" s="47"/>
      <c r="V107" s="43">
        <f t="shared" si="0"/>
        <v>0</v>
      </c>
      <c r="W107" s="43"/>
      <c r="X107" s="273">
        <f t="shared" si="2"/>
        <v>0</v>
      </c>
      <c r="Y107" s="273"/>
      <c r="Z107" s="273">
        <f t="shared" si="3"/>
        <v>0</v>
      </c>
      <c r="AA107" s="273"/>
      <c r="AB107" s="43"/>
      <c r="AC107" s="44">
        <f t="shared" si="1"/>
        <v>0</v>
      </c>
      <c r="AD107" s="249"/>
    </row>
    <row r="108" spans="1:30" ht="15" x14ac:dyDescent="0.2">
      <c r="A108" s="35"/>
      <c r="B108" s="250" t="s">
        <v>197</v>
      </c>
      <c r="C108" s="210" t="s">
        <v>75</v>
      </c>
      <c r="D108" s="211" t="s">
        <v>27</v>
      </c>
      <c r="E108" s="199"/>
      <c r="F108" s="154"/>
      <c r="G108" s="155"/>
      <c r="H108" s="49">
        <v>120</v>
      </c>
      <c r="I108" s="48"/>
      <c r="J108" s="58"/>
      <c r="K108" s="48"/>
      <c r="L108" s="87" t="s">
        <v>95</v>
      </c>
      <c r="M108" s="87" t="s">
        <v>95</v>
      </c>
      <c r="N108" s="57">
        <v>19.8</v>
      </c>
      <c r="O108" s="130"/>
      <c r="P108" s="130"/>
      <c r="Q108" s="130"/>
      <c r="R108" s="48"/>
      <c r="S108" s="273"/>
      <c r="T108" s="273"/>
      <c r="U108" s="47"/>
      <c r="V108" s="43">
        <f t="shared" si="0"/>
        <v>0</v>
      </c>
      <c r="W108" s="43"/>
      <c r="X108" s="273">
        <f t="shared" si="2"/>
        <v>0</v>
      </c>
      <c r="Y108" s="273"/>
      <c r="Z108" s="273">
        <f t="shared" si="3"/>
        <v>0</v>
      </c>
      <c r="AA108" s="273"/>
      <c r="AB108" s="43"/>
      <c r="AC108" s="44">
        <f t="shared" si="1"/>
        <v>0</v>
      </c>
      <c r="AD108" s="249"/>
    </row>
    <row r="109" spans="1:30" ht="15" x14ac:dyDescent="0.2">
      <c r="A109" s="35"/>
      <c r="B109" s="250" t="s">
        <v>197</v>
      </c>
      <c r="C109" s="210" t="s">
        <v>84</v>
      </c>
      <c r="D109" s="211" t="s">
        <v>27</v>
      </c>
      <c r="E109" s="199"/>
      <c r="F109" s="154"/>
      <c r="G109" s="155"/>
      <c r="H109" s="49">
        <v>50.4</v>
      </c>
      <c r="I109" s="48"/>
      <c r="J109" s="50">
        <v>0.751</v>
      </c>
      <c r="K109" s="48"/>
      <c r="L109" s="87">
        <v>5.0000000000000002E-5</v>
      </c>
      <c r="M109" s="87">
        <v>5.0000000000000004E-6</v>
      </c>
      <c r="N109" s="57">
        <v>0</v>
      </c>
      <c r="O109" s="130"/>
      <c r="P109" s="130"/>
      <c r="Q109" s="130"/>
      <c r="R109" s="48"/>
      <c r="S109" s="273"/>
      <c r="T109" s="273"/>
      <c r="U109" s="47"/>
      <c r="V109" s="43">
        <f t="shared" si="0"/>
        <v>0</v>
      </c>
      <c r="W109" s="43"/>
      <c r="X109" s="273">
        <f t="shared" si="2"/>
        <v>0</v>
      </c>
      <c r="Y109" s="273"/>
      <c r="Z109" s="273">
        <f t="shared" si="3"/>
        <v>0</v>
      </c>
      <c r="AA109" s="273"/>
      <c r="AB109" s="43"/>
      <c r="AC109" s="44">
        <f t="shared" si="1"/>
        <v>0</v>
      </c>
      <c r="AD109" s="249"/>
    </row>
    <row r="110" spans="1:30" ht="15" x14ac:dyDescent="0.2">
      <c r="A110" s="35"/>
      <c r="B110" s="250" t="s">
        <v>194</v>
      </c>
      <c r="C110" s="210" t="s">
        <v>30</v>
      </c>
      <c r="D110" s="211" t="s">
        <v>14</v>
      </c>
      <c r="E110" s="199"/>
      <c r="F110" s="154"/>
      <c r="G110" s="155"/>
      <c r="H110" s="49"/>
      <c r="I110" s="48"/>
      <c r="J110" s="48">
        <f>ROUND(0.4404*12.011/44.01,3)</f>
        <v>0.12</v>
      </c>
      <c r="K110" s="48">
        <f>ROUND(IF(J110&gt;0,44.01*J110/12.011,44.01*0.12/12.011),3)</f>
        <v>0.44</v>
      </c>
      <c r="L110" s="87" t="s">
        <v>95</v>
      </c>
      <c r="M110" s="87" t="s">
        <v>95</v>
      </c>
      <c r="N110" s="86">
        <v>2.3E-2</v>
      </c>
      <c r="O110" s="130"/>
      <c r="P110" s="130"/>
      <c r="Q110" s="130"/>
      <c r="R110" s="56" t="str">
        <f>IF(Q110&gt;0,ROUND(44.01*Q110/12.011,6),"na")</f>
        <v>na</v>
      </c>
      <c r="S110" s="273"/>
      <c r="T110" s="273"/>
      <c r="U110" s="47"/>
      <c r="V110" s="43">
        <f t="shared" si="0"/>
        <v>0</v>
      </c>
      <c r="W110" s="43"/>
      <c r="X110" s="273">
        <f t="shared" si="2"/>
        <v>0</v>
      </c>
      <c r="Y110" s="273"/>
      <c r="Z110" s="273">
        <f t="shared" si="3"/>
        <v>0</v>
      </c>
      <c r="AA110" s="273"/>
      <c r="AB110" s="43"/>
      <c r="AC110" s="91">
        <f t="shared" si="1"/>
        <v>0</v>
      </c>
      <c r="AD110" s="249"/>
    </row>
    <row r="111" spans="1:30" ht="15" x14ac:dyDescent="0.2">
      <c r="A111" s="35"/>
      <c r="B111" s="250" t="s">
        <v>194</v>
      </c>
      <c r="C111" s="210" t="s">
        <v>31</v>
      </c>
      <c r="D111" s="211" t="s">
        <v>27</v>
      </c>
      <c r="E111" s="384">
        <f>F48</f>
        <v>0</v>
      </c>
      <c r="F111" s="384">
        <f>G48</f>
        <v>0</v>
      </c>
      <c r="G111" s="384">
        <f>H48</f>
        <v>0</v>
      </c>
      <c r="H111" s="49"/>
      <c r="I111" s="48">
        <v>4.5</v>
      </c>
      <c r="J111" s="58"/>
      <c r="K111" s="48"/>
      <c r="L111" s="87" t="s">
        <v>95</v>
      </c>
      <c r="M111" s="87" t="s">
        <v>95</v>
      </c>
      <c r="N111" s="57">
        <v>0.95</v>
      </c>
      <c r="O111" s="130"/>
      <c r="P111" s="130"/>
      <c r="Q111" s="130"/>
      <c r="R111" s="48"/>
      <c r="S111" s="273"/>
      <c r="T111" s="273"/>
      <c r="U111" s="47"/>
      <c r="V111" s="43">
        <f t="shared" si="0"/>
        <v>0</v>
      </c>
      <c r="W111" s="43"/>
      <c r="X111" s="273">
        <f t="shared" si="2"/>
        <v>0</v>
      </c>
      <c r="Y111" s="273"/>
      <c r="Z111" s="273">
        <f t="shared" si="3"/>
        <v>0</v>
      </c>
      <c r="AA111" s="273"/>
      <c r="AB111" s="43"/>
      <c r="AC111" s="44">
        <f t="shared" si="1"/>
        <v>0</v>
      </c>
      <c r="AD111" s="249"/>
    </row>
    <row r="112" spans="1:30" ht="15" x14ac:dyDescent="0.2">
      <c r="A112" s="35"/>
      <c r="B112" s="250" t="s">
        <v>194</v>
      </c>
      <c r="C112" s="210" t="s">
        <v>32</v>
      </c>
      <c r="D112" s="211" t="s">
        <v>14</v>
      </c>
      <c r="E112" s="199"/>
      <c r="F112" s="154"/>
      <c r="G112" s="155"/>
      <c r="H112" s="49"/>
      <c r="I112" s="48"/>
      <c r="J112" s="50">
        <f>ROUND(0.4771*12.011/44.01,3)</f>
        <v>0.13</v>
      </c>
      <c r="K112" s="48">
        <f>ROUND(IF(J112&gt;0,44.01*J112/12.011,44.01*0.13/12.011),3)</f>
        <v>0.47599999999999998</v>
      </c>
      <c r="L112" s="87" t="s">
        <v>95</v>
      </c>
      <c r="M112" s="87" t="s">
        <v>95</v>
      </c>
      <c r="N112" s="86">
        <v>2.3E-2</v>
      </c>
      <c r="O112" s="130"/>
      <c r="P112" s="130"/>
      <c r="Q112" s="130"/>
      <c r="R112" s="56" t="str">
        <f>IF(Q112&gt;0,ROUND(44.01*Q112/12.011,6),"na")</f>
        <v>na</v>
      </c>
      <c r="S112" s="273"/>
      <c r="T112" s="273"/>
      <c r="U112" s="47"/>
      <c r="V112" s="43">
        <f t="shared" si="0"/>
        <v>0</v>
      </c>
      <c r="W112" s="43"/>
      <c r="X112" s="273">
        <f t="shared" si="2"/>
        <v>0</v>
      </c>
      <c r="Y112" s="273"/>
      <c r="Z112" s="273">
        <f t="shared" si="3"/>
        <v>0</v>
      </c>
      <c r="AA112" s="273"/>
      <c r="AB112" s="43"/>
      <c r="AC112" s="91">
        <f t="shared" si="1"/>
        <v>0</v>
      </c>
      <c r="AD112" s="249"/>
    </row>
    <row r="113" spans="1:30" ht="15" x14ac:dyDescent="0.2">
      <c r="A113" s="35"/>
      <c r="B113" s="250" t="s">
        <v>194</v>
      </c>
      <c r="C113" s="210" t="s">
        <v>33</v>
      </c>
      <c r="D113" s="211" t="s">
        <v>27</v>
      </c>
      <c r="E113" s="199"/>
      <c r="F113" s="154"/>
      <c r="G113" s="155"/>
      <c r="H113" s="49"/>
      <c r="I113" s="48">
        <v>4.5</v>
      </c>
      <c r="J113" s="58"/>
      <c r="K113" s="48"/>
      <c r="L113" s="87" t="s">
        <v>95</v>
      </c>
      <c r="M113" s="87" t="s">
        <v>95</v>
      </c>
      <c r="N113" s="57">
        <v>1.1000000000000001</v>
      </c>
      <c r="O113" s="130"/>
      <c r="P113" s="130"/>
      <c r="Q113" s="130"/>
      <c r="R113" s="48"/>
      <c r="S113" s="273"/>
      <c r="T113" s="273"/>
      <c r="U113" s="47"/>
      <c r="V113" s="43">
        <f t="shared" si="0"/>
        <v>0</v>
      </c>
      <c r="W113" s="43"/>
      <c r="X113" s="273">
        <f t="shared" si="2"/>
        <v>0</v>
      </c>
      <c r="Y113" s="273"/>
      <c r="Z113" s="273">
        <f t="shared" si="3"/>
        <v>0</v>
      </c>
      <c r="AA113" s="273"/>
      <c r="AB113" s="43"/>
      <c r="AC113" s="44">
        <f t="shared" si="1"/>
        <v>0</v>
      </c>
      <c r="AD113" s="249"/>
    </row>
    <row r="114" spans="1:30" ht="15" x14ac:dyDescent="0.2">
      <c r="A114" s="35"/>
      <c r="B114" s="250" t="s">
        <v>200</v>
      </c>
      <c r="C114" s="210" t="s">
        <v>34</v>
      </c>
      <c r="D114" s="211" t="s">
        <v>27</v>
      </c>
      <c r="E114" s="384">
        <f>F46</f>
        <v>0</v>
      </c>
      <c r="F114" s="384">
        <f>G46</f>
        <v>0</v>
      </c>
      <c r="G114" s="384">
        <f>H46</f>
        <v>0</v>
      </c>
      <c r="H114" s="49"/>
      <c r="I114" s="48">
        <v>2.4500000000000002</v>
      </c>
      <c r="J114" s="58"/>
      <c r="K114" s="48"/>
      <c r="L114" s="87" t="s">
        <v>95</v>
      </c>
      <c r="M114" s="87" t="s">
        <v>95</v>
      </c>
      <c r="N114" s="57">
        <v>0.26200000000000001</v>
      </c>
      <c r="O114" s="130"/>
      <c r="P114" s="130"/>
      <c r="Q114" s="130"/>
      <c r="R114" s="48"/>
      <c r="S114" s="273"/>
      <c r="T114" s="273"/>
      <c r="U114" s="47"/>
      <c r="V114" s="43">
        <f t="shared" si="0"/>
        <v>0</v>
      </c>
      <c r="W114" s="43"/>
      <c r="X114" s="273">
        <f t="shared" si="2"/>
        <v>0</v>
      </c>
      <c r="Y114" s="273"/>
      <c r="Z114" s="273">
        <f t="shared" si="3"/>
        <v>0</v>
      </c>
      <c r="AA114" s="273"/>
      <c r="AB114" s="43"/>
      <c r="AC114" s="44">
        <f t="shared" si="1"/>
        <v>0</v>
      </c>
      <c r="AD114" s="249"/>
    </row>
    <row r="115" spans="1:30" ht="15" x14ac:dyDescent="0.2">
      <c r="A115" s="35"/>
      <c r="B115" s="250" t="s">
        <v>200</v>
      </c>
      <c r="C115" s="210" t="s">
        <v>35</v>
      </c>
      <c r="D115" s="211" t="s">
        <v>27</v>
      </c>
      <c r="E115" s="384">
        <f>F47</f>
        <v>0</v>
      </c>
      <c r="F115" s="384">
        <f>G47</f>
        <v>0</v>
      </c>
      <c r="G115" s="384">
        <f>H47</f>
        <v>0</v>
      </c>
      <c r="H115" s="49"/>
      <c r="I115" s="48">
        <v>2.1</v>
      </c>
      <c r="J115" s="58"/>
      <c r="K115" s="48"/>
      <c r="L115" s="87" t="s">
        <v>95</v>
      </c>
      <c r="M115" s="87" t="s">
        <v>95</v>
      </c>
      <c r="N115" s="57">
        <v>0.13700000000000001</v>
      </c>
      <c r="O115" s="130"/>
      <c r="P115" s="130"/>
      <c r="Q115" s="130"/>
      <c r="R115" s="48"/>
      <c r="S115" s="273"/>
      <c r="T115" s="273"/>
      <c r="U115" s="47"/>
      <c r="V115" s="43">
        <f t="shared" si="0"/>
        <v>0</v>
      </c>
      <c r="W115" s="43"/>
      <c r="X115" s="273">
        <f t="shared" si="2"/>
        <v>0</v>
      </c>
      <c r="Y115" s="273"/>
      <c r="Z115" s="273">
        <f t="shared" si="3"/>
        <v>0</v>
      </c>
      <c r="AA115" s="273"/>
      <c r="AB115" s="43"/>
      <c r="AC115" s="44">
        <f t="shared" si="1"/>
        <v>0</v>
      </c>
      <c r="AD115" s="249"/>
    </row>
    <row r="116" spans="1:30" ht="15" x14ac:dyDescent="0.2">
      <c r="A116" s="35"/>
      <c r="B116" s="250" t="s">
        <v>193</v>
      </c>
      <c r="C116" s="210" t="s">
        <v>36</v>
      </c>
      <c r="D116" s="211" t="s">
        <v>27</v>
      </c>
      <c r="E116" s="199"/>
      <c r="F116" s="154"/>
      <c r="G116" s="155"/>
      <c r="H116" s="49"/>
      <c r="I116" s="48"/>
      <c r="J116" s="58"/>
      <c r="K116" s="48">
        <f>3.663</f>
        <v>3.6629999999999998</v>
      </c>
      <c r="L116" s="87" t="s">
        <v>95</v>
      </c>
      <c r="M116" s="87" t="s">
        <v>95</v>
      </c>
      <c r="N116" s="57">
        <v>0.65</v>
      </c>
      <c r="O116" s="130"/>
      <c r="P116" s="130"/>
      <c r="Q116" s="130"/>
      <c r="R116" s="59"/>
      <c r="S116" s="273"/>
      <c r="T116" s="273"/>
      <c r="U116" s="47"/>
      <c r="V116" s="43">
        <f>IF($F116&gt;0,IF(R116&gt;0,ROUND(R116*($F116-G116),6),ROUND(K116*($F116-G116),6)),IF(($F63)&gt;0,ROUND(0.005*$F63,6),0))</f>
        <v>0</v>
      </c>
      <c r="W116" s="43"/>
      <c r="X116" s="273">
        <f t="shared" si="2"/>
        <v>0</v>
      </c>
      <c r="Y116" s="273"/>
      <c r="Z116" s="273">
        <f t="shared" si="3"/>
        <v>0</v>
      </c>
      <c r="AA116" s="273"/>
      <c r="AB116" s="43"/>
      <c r="AC116" s="44">
        <f t="shared" si="1"/>
        <v>0</v>
      </c>
      <c r="AD116" s="249"/>
    </row>
    <row r="117" spans="1:30" ht="15" x14ac:dyDescent="0.2">
      <c r="A117" s="35"/>
      <c r="B117" s="250" t="s">
        <v>195</v>
      </c>
      <c r="C117" s="209" t="s">
        <v>80</v>
      </c>
      <c r="D117" s="211" t="s">
        <v>27</v>
      </c>
      <c r="E117" s="199"/>
      <c r="F117" s="154"/>
      <c r="G117" s="155"/>
      <c r="H117" s="49"/>
      <c r="I117" s="48">
        <v>20.9</v>
      </c>
      <c r="J117" s="50">
        <v>4.7E-2</v>
      </c>
      <c r="K117" s="48">
        <f>IF(J117&gt;0,ROUND(44.01*J117/12.011,3),IF(H117&gt;0,ROUND(H117*0.008229665,3),ROUND(44.01*0.047/12.011,3)))</f>
        <v>0.17199999999999999</v>
      </c>
      <c r="L117" s="87" t="s">
        <v>95</v>
      </c>
      <c r="M117" s="87" t="s">
        <v>95</v>
      </c>
      <c r="N117" s="57">
        <v>1.855</v>
      </c>
      <c r="O117" s="130"/>
      <c r="P117" s="130"/>
      <c r="Q117" s="130"/>
      <c r="R117" s="56" t="str">
        <f>IF(Q117&gt;0,ROUND(44.01*Q117/12.011,6),IF(SUM(O117,P117)&gt;0,ROUND(SUM(O117,P117)*0.008229665,6),"na"))</f>
        <v>na</v>
      </c>
      <c r="S117" s="273"/>
      <c r="T117" s="273"/>
      <c r="U117" s="47"/>
      <c r="V117" s="43">
        <f t="shared" ref="V117:V167" si="4">ROUND(IF($R117&lt;&gt;"na",$R117,$K117)*($F117-$G117),6)</f>
        <v>0</v>
      </c>
      <c r="W117" s="43"/>
      <c r="X117" s="273">
        <f t="shared" si="2"/>
        <v>0</v>
      </c>
      <c r="Y117" s="273"/>
      <c r="Z117" s="273">
        <f t="shared" si="3"/>
        <v>0</v>
      </c>
      <c r="AA117" s="273"/>
      <c r="AB117" s="43"/>
      <c r="AC117" s="44">
        <f t="shared" si="1"/>
        <v>0</v>
      </c>
      <c r="AD117" s="249"/>
    </row>
    <row r="118" spans="1:30" ht="15" x14ac:dyDescent="0.2">
      <c r="A118" s="35"/>
      <c r="B118" s="250" t="s">
        <v>195</v>
      </c>
      <c r="C118" s="209" t="s">
        <v>37</v>
      </c>
      <c r="D118" s="211" t="s">
        <v>27</v>
      </c>
      <c r="E118" s="384">
        <f>F49</f>
        <v>0</v>
      </c>
      <c r="F118" s="154"/>
      <c r="G118" s="155"/>
      <c r="H118" s="49"/>
      <c r="I118" s="57"/>
      <c r="J118" s="57"/>
      <c r="K118" s="57"/>
      <c r="L118" s="87"/>
      <c r="M118" s="87"/>
      <c r="N118" s="57"/>
      <c r="O118" s="130"/>
      <c r="P118" s="130"/>
      <c r="Q118" s="130"/>
      <c r="R118" s="56" t="str">
        <f>IF(Q118&gt;0,ROUND(44.01*Q118/12.011,6),IF(SUM(O118,P118)&gt;0,ROUND(SUM(O118,P118)*0.008229665,6),"na"))</f>
        <v>na</v>
      </c>
      <c r="S118" s="273"/>
      <c r="T118" s="273"/>
      <c r="U118" s="47"/>
      <c r="V118" s="43">
        <f t="shared" si="4"/>
        <v>0</v>
      </c>
      <c r="W118" s="43"/>
      <c r="X118" s="273">
        <f t="shared" si="2"/>
        <v>0</v>
      </c>
      <c r="Y118" s="273"/>
      <c r="Z118" s="273">
        <f t="shared" si="3"/>
        <v>0</v>
      </c>
      <c r="AA118" s="273"/>
      <c r="AB118" s="43"/>
      <c r="AC118" s="44">
        <f t="shared" si="1"/>
        <v>0</v>
      </c>
      <c r="AD118" s="249"/>
    </row>
    <row r="119" spans="1:30" ht="15" x14ac:dyDescent="0.2">
      <c r="A119" s="35"/>
      <c r="B119" s="250" t="s">
        <v>195</v>
      </c>
      <c r="C119" s="209" t="s">
        <v>38</v>
      </c>
      <c r="D119" s="211" t="s">
        <v>27</v>
      </c>
      <c r="E119" s="199"/>
      <c r="F119" s="154"/>
      <c r="G119" s="155"/>
      <c r="H119" s="49"/>
      <c r="I119" s="48">
        <v>20.9</v>
      </c>
      <c r="J119" s="50">
        <v>4.7E-2</v>
      </c>
      <c r="K119" s="48">
        <f>IF(J119&gt;0,ROUND(44.01*J119/12.011,3),IF(H119&gt;0,ROUND(H119*0.008229665,3),ROUND(44.01*0.047/12.011,3)))</f>
        <v>0.17199999999999999</v>
      </c>
      <c r="L119" s="87" t="s">
        <v>95</v>
      </c>
      <c r="M119" s="87" t="s">
        <v>95</v>
      </c>
      <c r="N119" s="57">
        <v>1.855</v>
      </c>
      <c r="O119" s="130"/>
      <c r="P119" s="130"/>
      <c r="Q119" s="130"/>
      <c r="R119" s="56" t="str">
        <f>IF(Q119&gt;0,ROUND(44.01*Q119/12.011,3),IF(SUM(O119,P119)&gt;0,ROUND(SUM(O119,P119)*0.008229665,3),"na"))</f>
        <v>na</v>
      </c>
      <c r="S119" s="273"/>
      <c r="T119" s="273"/>
      <c r="U119" s="47"/>
      <c r="V119" s="43">
        <f t="shared" si="4"/>
        <v>0</v>
      </c>
      <c r="W119" s="43"/>
      <c r="X119" s="273">
        <f t="shared" si="2"/>
        <v>0</v>
      </c>
      <c r="Y119" s="273"/>
      <c r="Z119" s="273">
        <f t="shared" si="3"/>
        <v>0</v>
      </c>
      <c r="AA119" s="273"/>
      <c r="AB119" s="43"/>
      <c r="AC119" s="44">
        <f t="shared" ref="AC119:AC141" si="5">ROUND(IF($U119&lt;&gt;"",$U119,$N119)*($F119-$G119),6)</f>
        <v>0</v>
      </c>
      <c r="AD119" s="249"/>
    </row>
    <row r="120" spans="1:30" ht="15" x14ac:dyDescent="0.2">
      <c r="A120" s="35"/>
      <c r="B120" s="250" t="s">
        <v>195</v>
      </c>
      <c r="C120" s="209" t="s">
        <v>39</v>
      </c>
      <c r="D120" s="211" t="s">
        <v>27</v>
      </c>
      <c r="E120" s="199"/>
      <c r="F120" s="154"/>
      <c r="G120" s="155"/>
      <c r="H120" s="51"/>
      <c r="I120" s="50"/>
      <c r="J120" s="50">
        <v>5.0000000000000001E-3</v>
      </c>
      <c r="K120" s="48">
        <f>ROUND(IF(J120&gt;0,44.01*J120/12.011,44.01*0.005/12.011),3)</f>
        <v>1.7999999999999999E-2</v>
      </c>
      <c r="L120" s="87" t="s">
        <v>95</v>
      </c>
      <c r="M120" s="87" t="s">
        <v>95</v>
      </c>
      <c r="N120" s="57">
        <v>5.2</v>
      </c>
      <c r="O120" s="130"/>
      <c r="P120" s="130"/>
      <c r="Q120" s="130"/>
      <c r="R120" s="56" t="str">
        <f>IF(Q120&gt;0,ROUND(44.01*Q120/12.011,6),"na")</f>
        <v>na</v>
      </c>
      <c r="S120" s="273"/>
      <c r="T120" s="273"/>
      <c r="U120" s="47"/>
      <c r="V120" s="43">
        <f t="shared" si="4"/>
        <v>0</v>
      </c>
      <c r="W120" s="43"/>
      <c r="X120" s="273">
        <f t="shared" si="2"/>
        <v>0</v>
      </c>
      <c r="Y120" s="273"/>
      <c r="Z120" s="273">
        <f t="shared" si="3"/>
        <v>0</v>
      </c>
      <c r="AA120" s="273"/>
      <c r="AB120" s="43"/>
      <c r="AC120" s="44">
        <f t="shared" si="5"/>
        <v>0</v>
      </c>
      <c r="AD120" s="249"/>
    </row>
    <row r="121" spans="1:30" ht="15" x14ac:dyDescent="0.2">
      <c r="A121" s="35"/>
      <c r="B121" s="250" t="s">
        <v>195</v>
      </c>
      <c r="C121" s="209" t="s">
        <v>76</v>
      </c>
      <c r="D121" s="211" t="s">
        <v>27</v>
      </c>
      <c r="E121" s="199"/>
      <c r="F121" s="154"/>
      <c r="G121" s="155"/>
      <c r="H121" s="51"/>
      <c r="I121" s="50">
        <v>20.9</v>
      </c>
      <c r="J121" s="50">
        <v>4.7E-2</v>
      </c>
      <c r="K121" s="48">
        <f>IF(J121&gt;0,ROUND(44.01*J121/12.011,3),IF(H121&gt;0,ROUND(H121*0.008229665,3),ROUND(44.01*0.047/12.011,3)))</f>
        <v>0.17199999999999999</v>
      </c>
      <c r="L121" s="87" t="s">
        <v>95</v>
      </c>
      <c r="M121" s="87" t="s">
        <v>95</v>
      </c>
      <c r="N121" s="57">
        <v>1.855</v>
      </c>
      <c r="O121" s="130"/>
      <c r="P121" s="130"/>
      <c r="Q121" s="130"/>
      <c r="R121" s="56" t="str">
        <f>IF(Q121&gt;0,ROUND(44.01*Q121/12.011,3),IF(SUM(O121,P121)&gt;0,ROUND(SUM(O121,P121)*0.008229665,3),"na"))</f>
        <v>na</v>
      </c>
      <c r="S121" s="273"/>
      <c r="T121" s="273"/>
      <c r="U121" s="47"/>
      <c r="V121" s="43">
        <f t="shared" si="4"/>
        <v>0</v>
      </c>
      <c r="W121" s="43"/>
      <c r="X121" s="273">
        <f t="shared" si="2"/>
        <v>0</v>
      </c>
      <c r="Y121" s="273"/>
      <c r="Z121" s="273">
        <f t="shared" si="3"/>
        <v>0</v>
      </c>
      <c r="AA121" s="273"/>
      <c r="AB121" s="43"/>
      <c r="AC121" s="44">
        <f t="shared" si="5"/>
        <v>0</v>
      </c>
      <c r="AD121" s="249"/>
    </row>
    <row r="122" spans="1:30" ht="15" x14ac:dyDescent="0.2">
      <c r="A122" s="35"/>
      <c r="B122" s="250" t="s">
        <v>77</v>
      </c>
      <c r="C122" s="209" t="s">
        <v>77</v>
      </c>
      <c r="D122" s="211" t="s">
        <v>27</v>
      </c>
      <c r="E122" s="199"/>
      <c r="F122" s="154"/>
      <c r="G122" s="155"/>
      <c r="H122" s="51"/>
      <c r="I122" s="50">
        <v>15.6</v>
      </c>
      <c r="J122" s="50">
        <v>0.47599999999999998</v>
      </c>
      <c r="K122" s="48"/>
      <c r="L122" s="87">
        <v>4.6799999999999999E-4</v>
      </c>
      <c r="M122" s="87">
        <v>6.2000000000000003E-5</v>
      </c>
      <c r="N122" s="57">
        <v>0</v>
      </c>
      <c r="O122" s="130"/>
      <c r="P122" s="130"/>
      <c r="Q122" s="130"/>
      <c r="R122" s="48"/>
      <c r="S122" s="273"/>
      <c r="T122" s="273"/>
      <c r="U122" s="47"/>
      <c r="V122" s="43">
        <f t="shared" si="4"/>
        <v>0</v>
      </c>
      <c r="W122" s="43"/>
      <c r="X122" s="273">
        <f t="shared" si="2"/>
        <v>0</v>
      </c>
      <c r="Y122" s="273"/>
      <c r="Z122" s="273">
        <f t="shared" si="3"/>
        <v>0</v>
      </c>
      <c r="AA122" s="273"/>
      <c r="AB122" s="43"/>
      <c r="AC122" s="44">
        <f t="shared" si="5"/>
        <v>0</v>
      </c>
      <c r="AD122" s="249"/>
    </row>
    <row r="123" spans="1:30" ht="15" x14ac:dyDescent="0.2">
      <c r="A123" s="35"/>
      <c r="B123" s="250" t="s">
        <v>195</v>
      </c>
      <c r="C123" s="210" t="s">
        <v>40</v>
      </c>
      <c r="D123" s="211" t="s">
        <v>27</v>
      </c>
      <c r="E123" s="199"/>
      <c r="F123" s="154"/>
      <c r="G123" s="155"/>
      <c r="H123" s="51"/>
      <c r="I123" s="57"/>
      <c r="J123" s="57"/>
      <c r="K123" s="57"/>
      <c r="L123" s="87"/>
      <c r="M123" s="87"/>
      <c r="N123" s="57"/>
      <c r="O123" s="130"/>
      <c r="P123" s="130"/>
      <c r="Q123" s="130"/>
      <c r="R123" s="56" t="str">
        <f t="shared" ref="R123:R152" si="6">IF(Q123&gt;0,ROUND(44.01*Q123/12.011,6),"na")</f>
        <v>na</v>
      </c>
      <c r="S123" s="273"/>
      <c r="T123" s="273"/>
      <c r="U123" s="47"/>
      <c r="V123" s="43">
        <f t="shared" si="4"/>
        <v>0</v>
      </c>
      <c r="W123" s="43"/>
      <c r="X123" s="273">
        <f t="shared" si="2"/>
        <v>0</v>
      </c>
      <c r="Y123" s="273"/>
      <c r="Z123" s="273">
        <f t="shared" si="3"/>
        <v>0</v>
      </c>
      <c r="AA123" s="273"/>
      <c r="AB123" s="43"/>
      <c r="AC123" s="44">
        <f t="shared" si="5"/>
        <v>0</v>
      </c>
      <c r="AD123" s="249"/>
    </row>
    <row r="124" spans="1:30" ht="15" x14ac:dyDescent="0.2">
      <c r="A124" s="35"/>
      <c r="B124" s="250" t="s">
        <v>195</v>
      </c>
      <c r="C124" s="210" t="s">
        <v>41</v>
      </c>
      <c r="D124" s="211" t="s">
        <v>27</v>
      </c>
      <c r="E124" s="199"/>
      <c r="F124" s="154"/>
      <c r="G124" s="155"/>
      <c r="H124" s="49"/>
      <c r="I124" s="57"/>
      <c r="J124" s="57"/>
      <c r="K124" s="57"/>
      <c r="L124" s="87"/>
      <c r="M124" s="87"/>
      <c r="N124" s="57"/>
      <c r="O124" s="130"/>
      <c r="P124" s="130"/>
      <c r="Q124" s="130"/>
      <c r="R124" s="56" t="str">
        <f t="shared" si="6"/>
        <v>na</v>
      </c>
      <c r="S124" s="273"/>
      <c r="T124" s="273"/>
      <c r="U124" s="47"/>
      <c r="V124" s="43">
        <f t="shared" si="4"/>
        <v>0</v>
      </c>
      <c r="W124" s="43"/>
      <c r="X124" s="273">
        <f t="shared" si="2"/>
        <v>0</v>
      </c>
      <c r="Y124" s="273"/>
      <c r="Z124" s="273">
        <f t="shared" si="3"/>
        <v>0</v>
      </c>
      <c r="AA124" s="273"/>
      <c r="AB124" s="43"/>
      <c r="AC124" s="44">
        <f t="shared" si="5"/>
        <v>0</v>
      </c>
      <c r="AD124" s="249"/>
    </row>
    <row r="125" spans="1:30" ht="15" x14ac:dyDescent="0.2">
      <c r="A125" s="35"/>
      <c r="B125" s="250" t="s">
        <v>195</v>
      </c>
      <c r="C125" s="210" t="s">
        <v>65</v>
      </c>
      <c r="D125" s="211" t="s">
        <v>27</v>
      </c>
      <c r="E125" s="199"/>
      <c r="F125" s="154"/>
      <c r="G125" s="155"/>
      <c r="H125" s="49"/>
      <c r="I125" s="57"/>
      <c r="J125" s="57"/>
      <c r="K125" s="57"/>
      <c r="L125" s="87"/>
      <c r="M125" s="87"/>
      <c r="N125" s="57"/>
      <c r="O125" s="130"/>
      <c r="P125" s="130"/>
      <c r="Q125" s="130"/>
      <c r="R125" s="56" t="str">
        <f t="shared" si="6"/>
        <v>na</v>
      </c>
      <c r="S125" s="273"/>
      <c r="T125" s="273"/>
      <c r="U125" s="47"/>
      <c r="V125" s="43">
        <f>ROUND(IF($R125&lt;&gt;"na",$R125,$K125)*($F125-$G125),6)</f>
        <v>0</v>
      </c>
      <c r="W125" s="43"/>
      <c r="X125" s="273">
        <f t="shared" si="2"/>
        <v>0</v>
      </c>
      <c r="Y125" s="273"/>
      <c r="Z125" s="273">
        <f t="shared" si="3"/>
        <v>0</v>
      </c>
      <c r="AA125" s="273"/>
      <c r="AB125" s="43"/>
      <c r="AC125" s="44">
        <f t="shared" si="5"/>
        <v>0</v>
      </c>
      <c r="AD125" s="249"/>
    </row>
    <row r="126" spans="1:30" ht="15" x14ac:dyDescent="0.2">
      <c r="A126" s="35"/>
      <c r="B126" s="250" t="s">
        <v>318</v>
      </c>
      <c r="C126" s="210" t="s">
        <v>322</v>
      </c>
      <c r="D126" s="211" t="s">
        <v>27</v>
      </c>
      <c r="E126" s="384">
        <f>F63</f>
        <v>0</v>
      </c>
      <c r="F126" s="384">
        <f>G63</f>
        <v>0</v>
      </c>
      <c r="G126" s="384">
        <f>H63</f>
        <v>0</v>
      </c>
      <c r="H126" s="49"/>
      <c r="I126" s="57"/>
      <c r="J126" s="57"/>
      <c r="K126" s="57"/>
      <c r="L126" s="87"/>
      <c r="M126" s="87"/>
      <c r="N126" s="57"/>
      <c r="O126" s="130"/>
      <c r="P126" s="130"/>
      <c r="Q126" s="130"/>
      <c r="R126" s="56" t="str">
        <f t="shared" si="6"/>
        <v>na</v>
      </c>
      <c r="S126" s="273"/>
      <c r="T126" s="273"/>
      <c r="U126" s="47"/>
      <c r="V126" s="43">
        <f>ROUND(IF($R126&lt;&gt;"na",$R126,$K126)*($F126-$G126),6)</f>
        <v>0</v>
      </c>
      <c r="W126" s="43"/>
      <c r="X126" s="273">
        <f t="shared" si="2"/>
        <v>0</v>
      </c>
      <c r="Y126" s="273"/>
      <c r="Z126" s="273">
        <f t="shared" si="3"/>
        <v>0</v>
      </c>
      <c r="AA126" s="273"/>
      <c r="AB126" s="43"/>
      <c r="AC126" s="44">
        <f>ROUND(IF($U126&lt;&gt;"",$U126,$N126)*($F126-$G126),6)</f>
        <v>0</v>
      </c>
      <c r="AD126" s="249"/>
    </row>
    <row r="127" spans="1:30" ht="15" x14ac:dyDescent="0.2">
      <c r="A127" s="35"/>
      <c r="B127" s="250" t="s">
        <v>318</v>
      </c>
      <c r="C127" s="210" t="s">
        <v>319</v>
      </c>
      <c r="D127" s="211" t="s">
        <v>27</v>
      </c>
      <c r="E127" s="384">
        <f>F54</f>
        <v>0</v>
      </c>
      <c r="F127" s="384">
        <f>G54</f>
        <v>0</v>
      </c>
      <c r="G127" s="384">
        <f>H54</f>
        <v>0</v>
      </c>
      <c r="H127" s="49"/>
      <c r="I127" s="57"/>
      <c r="J127" s="50"/>
      <c r="K127" s="57"/>
      <c r="L127" s="87"/>
      <c r="M127" s="87"/>
      <c r="N127" s="57"/>
      <c r="O127" s="130"/>
      <c r="P127" s="130"/>
      <c r="Q127" s="130"/>
      <c r="R127" s="56" t="str">
        <f t="shared" si="6"/>
        <v>na</v>
      </c>
      <c r="S127" s="273"/>
      <c r="T127" s="273"/>
      <c r="U127" s="47"/>
      <c r="V127" s="43">
        <f t="shared" ref="V127:V129" si="7">ROUND(IF($R127&lt;&gt;"na",$R127,$K127)*($F127-$G127),6)</f>
        <v>0</v>
      </c>
      <c r="W127" s="43"/>
      <c r="X127" s="273">
        <f t="shared" si="2"/>
        <v>0</v>
      </c>
      <c r="Y127" s="273"/>
      <c r="Z127" s="273">
        <f t="shared" si="3"/>
        <v>0</v>
      </c>
      <c r="AA127" s="273"/>
      <c r="AB127" s="43"/>
      <c r="AC127" s="44">
        <f t="shared" si="5"/>
        <v>0</v>
      </c>
      <c r="AD127" s="249"/>
    </row>
    <row r="128" spans="1:30" ht="15" x14ac:dyDescent="0.2">
      <c r="A128" s="35"/>
      <c r="B128" s="250" t="s">
        <v>318</v>
      </c>
      <c r="C128" s="209" t="s">
        <v>320</v>
      </c>
      <c r="D128" s="211" t="s">
        <v>27</v>
      </c>
      <c r="E128" s="384">
        <f>F55</f>
        <v>0</v>
      </c>
      <c r="F128" s="384">
        <f>G55</f>
        <v>0</v>
      </c>
      <c r="G128" s="384">
        <f>H55</f>
        <v>0</v>
      </c>
      <c r="H128" s="49"/>
      <c r="I128" s="57"/>
      <c r="J128" s="50"/>
      <c r="K128" s="57"/>
      <c r="L128" s="87"/>
      <c r="M128" s="87"/>
      <c r="N128" s="57"/>
      <c r="O128" s="130"/>
      <c r="P128" s="130"/>
      <c r="Q128" s="130"/>
      <c r="R128" s="56" t="str">
        <f t="shared" si="6"/>
        <v>na</v>
      </c>
      <c r="S128" s="273"/>
      <c r="T128" s="273"/>
      <c r="U128" s="47"/>
      <c r="V128" s="43">
        <f t="shared" si="7"/>
        <v>0</v>
      </c>
      <c r="W128" s="43"/>
      <c r="X128" s="273">
        <f t="shared" si="2"/>
        <v>0</v>
      </c>
      <c r="Y128" s="273"/>
      <c r="Z128" s="273">
        <f t="shared" si="3"/>
        <v>0</v>
      </c>
      <c r="AA128" s="273"/>
      <c r="AB128" s="43"/>
      <c r="AC128" s="44">
        <f t="shared" si="5"/>
        <v>0</v>
      </c>
      <c r="AD128" s="249"/>
    </row>
    <row r="129" spans="1:30" ht="15" x14ac:dyDescent="0.2">
      <c r="A129" s="35"/>
      <c r="B129" s="250" t="s">
        <v>318</v>
      </c>
      <c r="C129" s="209" t="s">
        <v>321</v>
      </c>
      <c r="D129" s="211" t="s">
        <v>27</v>
      </c>
      <c r="E129" s="384">
        <f>F56</f>
        <v>0</v>
      </c>
      <c r="F129" s="384">
        <f>G56</f>
        <v>0</v>
      </c>
      <c r="G129" s="384">
        <f>H56</f>
        <v>0</v>
      </c>
      <c r="H129" s="49"/>
      <c r="I129" s="57"/>
      <c r="J129" s="50"/>
      <c r="K129" s="57"/>
      <c r="L129" s="87"/>
      <c r="M129" s="87"/>
      <c r="N129" s="57"/>
      <c r="O129" s="130"/>
      <c r="P129" s="130"/>
      <c r="Q129" s="130"/>
      <c r="R129" s="56" t="str">
        <f t="shared" si="6"/>
        <v>na</v>
      </c>
      <c r="S129" s="273"/>
      <c r="T129" s="273"/>
      <c r="U129" s="47"/>
      <c r="V129" s="43">
        <f t="shared" si="7"/>
        <v>0</v>
      </c>
      <c r="W129" s="43"/>
      <c r="X129" s="273">
        <f t="shared" si="2"/>
        <v>0</v>
      </c>
      <c r="Y129" s="273"/>
      <c r="Z129" s="273">
        <f t="shared" si="3"/>
        <v>0</v>
      </c>
      <c r="AA129" s="273"/>
      <c r="AB129" s="43"/>
      <c r="AC129" s="44">
        <f t="shared" si="5"/>
        <v>0</v>
      </c>
      <c r="AD129" s="249"/>
    </row>
    <row r="130" spans="1:30" ht="15" x14ac:dyDescent="0.2">
      <c r="A130" s="35"/>
      <c r="B130" s="250" t="s">
        <v>196</v>
      </c>
      <c r="C130" s="210" t="s">
        <v>42</v>
      </c>
      <c r="D130" s="211" t="s">
        <v>27</v>
      </c>
      <c r="E130" s="199"/>
      <c r="F130" s="154"/>
      <c r="G130" s="155"/>
      <c r="H130" s="49"/>
      <c r="I130" s="48"/>
      <c r="J130" s="50">
        <v>0.01</v>
      </c>
      <c r="K130" s="48">
        <f>ROUND(IF(J130&gt;0,44.01*J130/12.011,44.01*0.01/12.011),3)</f>
        <v>3.6999999999999998E-2</v>
      </c>
      <c r="L130" s="87" t="s">
        <v>95</v>
      </c>
      <c r="M130" s="87" t="s">
        <v>95</v>
      </c>
      <c r="N130" s="57">
        <v>8.6761599999999994</v>
      </c>
      <c r="O130" s="130"/>
      <c r="P130" s="130"/>
      <c r="Q130" s="130"/>
      <c r="R130" s="56" t="str">
        <f t="shared" si="6"/>
        <v>na</v>
      </c>
      <c r="S130" s="273"/>
      <c r="T130" s="273"/>
      <c r="U130" s="47"/>
      <c r="V130" s="43">
        <f t="shared" si="4"/>
        <v>0</v>
      </c>
      <c r="W130" s="43"/>
      <c r="X130" s="273">
        <f t="shared" si="2"/>
        <v>0</v>
      </c>
      <c r="Y130" s="273"/>
      <c r="Z130" s="273">
        <f t="shared" si="3"/>
        <v>0</v>
      </c>
      <c r="AA130" s="273"/>
      <c r="AB130" s="43"/>
      <c r="AC130" s="44">
        <f t="shared" si="5"/>
        <v>0</v>
      </c>
      <c r="AD130" s="249"/>
    </row>
    <row r="131" spans="1:30" ht="15" x14ac:dyDescent="0.2">
      <c r="A131" s="35"/>
      <c r="B131" s="250" t="s">
        <v>196</v>
      </c>
      <c r="C131" s="210" t="s">
        <v>43</v>
      </c>
      <c r="D131" s="211" t="s">
        <v>27</v>
      </c>
      <c r="E131" s="199"/>
      <c r="F131" s="154"/>
      <c r="G131" s="155"/>
      <c r="H131" s="49"/>
      <c r="I131" s="48"/>
      <c r="J131" s="50">
        <v>1E-3</v>
      </c>
      <c r="K131" s="48">
        <f>ROUND(IF(J131&gt;0,44.01*J131/12.011,44.01*0.001/12.011),3)</f>
        <v>4.0000000000000001E-3</v>
      </c>
      <c r="L131" s="87" t="s">
        <v>95</v>
      </c>
      <c r="M131" s="87" t="s">
        <v>95</v>
      </c>
      <c r="N131" s="57">
        <f>ROUND(26337*0.77/1000,3)</f>
        <v>20.279</v>
      </c>
      <c r="O131" s="130"/>
      <c r="P131" s="130"/>
      <c r="Q131" s="130"/>
      <c r="R131" s="56" t="str">
        <f t="shared" si="6"/>
        <v>na</v>
      </c>
      <c r="S131" s="273"/>
      <c r="T131" s="273"/>
      <c r="U131" s="47"/>
      <c r="V131" s="43">
        <f t="shared" si="4"/>
        <v>0</v>
      </c>
      <c r="W131" s="43"/>
      <c r="X131" s="273">
        <f t="shared" si="2"/>
        <v>0</v>
      </c>
      <c r="Y131" s="273"/>
      <c r="Z131" s="273">
        <f t="shared" si="3"/>
        <v>0</v>
      </c>
      <c r="AA131" s="273"/>
      <c r="AB131" s="43"/>
      <c r="AC131" s="44">
        <f t="shared" si="5"/>
        <v>0</v>
      </c>
      <c r="AD131" s="249"/>
    </row>
    <row r="132" spans="1:30" ht="15" x14ac:dyDescent="0.2">
      <c r="A132" s="35"/>
      <c r="B132" s="250" t="s">
        <v>196</v>
      </c>
      <c r="C132" s="210" t="s">
        <v>44</v>
      </c>
      <c r="D132" s="211" t="s">
        <v>27</v>
      </c>
      <c r="E132" s="199"/>
      <c r="F132" s="154"/>
      <c r="G132" s="155"/>
      <c r="H132" s="49"/>
      <c r="I132" s="48"/>
      <c r="J132" s="50">
        <v>1E-3</v>
      </c>
      <c r="K132" s="48">
        <f>ROUND(IF(J132&gt;0,44.01*J132/12.011,44.01*0.001/12.011),3)</f>
        <v>4.0000000000000001E-3</v>
      </c>
      <c r="L132" s="87" t="s">
        <v>95</v>
      </c>
      <c r="M132" s="87" t="s">
        <v>95</v>
      </c>
      <c r="N132" s="57">
        <f>ROUND(13675*0.993/1000,3)</f>
        <v>13.579000000000001</v>
      </c>
      <c r="O132" s="130"/>
      <c r="P132" s="130"/>
      <c r="Q132" s="130"/>
      <c r="R132" s="56" t="str">
        <f t="shared" si="6"/>
        <v>na</v>
      </c>
      <c r="S132" s="273"/>
      <c r="T132" s="273"/>
      <c r="U132" s="47"/>
      <c r="V132" s="43">
        <f t="shared" si="4"/>
        <v>0</v>
      </c>
      <c r="W132" s="43"/>
      <c r="X132" s="273">
        <f t="shared" si="2"/>
        <v>0</v>
      </c>
      <c r="Y132" s="273"/>
      <c r="Z132" s="273">
        <f t="shared" si="3"/>
        <v>0</v>
      </c>
      <c r="AA132" s="273"/>
      <c r="AB132" s="43"/>
      <c r="AC132" s="44">
        <f t="shared" si="5"/>
        <v>0</v>
      </c>
      <c r="AD132" s="249"/>
    </row>
    <row r="133" spans="1:30" ht="15" x14ac:dyDescent="0.2">
      <c r="A133" s="35"/>
      <c r="B133" s="250" t="s">
        <v>196</v>
      </c>
      <c r="C133" s="210" t="s">
        <v>45</v>
      </c>
      <c r="D133" s="211" t="s">
        <v>27</v>
      </c>
      <c r="E133" s="199"/>
      <c r="F133" s="154"/>
      <c r="G133" s="155"/>
      <c r="H133" s="49"/>
      <c r="I133" s="48"/>
      <c r="J133" s="50">
        <v>7.4999999999999997E-2</v>
      </c>
      <c r="K133" s="48">
        <f>ROUND(IF(J133&gt;0,44.01*J133/12.011,44.01*0.075/12.011),3)</f>
        <v>0.27500000000000002</v>
      </c>
      <c r="L133" s="87" t="s">
        <v>95</v>
      </c>
      <c r="M133" s="87" t="s">
        <v>95</v>
      </c>
      <c r="N133" s="57">
        <f>ROUND(10596.9*0.565/1000,3)</f>
        <v>5.9870000000000001</v>
      </c>
      <c r="O133" s="130"/>
      <c r="P133" s="130"/>
      <c r="Q133" s="130"/>
      <c r="R133" s="56" t="str">
        <f t="shared" si="6"/>
        <v>na</v>
      </c>
      <c r="S133" s="273"/>
      <c r="T133" s="273"/>
      <c r="U133" s="47"/>
      <c r="V133" s="43">
        <f t="shared" si="4"/>
        <v>0</v>
      </c>
      <c r="W133" s="43"/>
      <c r="X133" s="273">
        <f t="shared" si="2"/>
        <v>0</v>
      </c>
      <c r="Y133" s="273"/>
      <c r="Z133" s="273">
        <f t="shared" si="3"/>
        <v>0</v>
      </c>
      <c r="AA133" s="273"/>
      <c r="AB133" s="43"/>
      <c r="AC133" s="44">
        <f t="shared" si="5"/>
        <v>0</v>
      </c>
      <c r="AD133" s="249"/>
    </row>
    <row r="134" spans="1:30" ht="15" x14ac:dyDescent="0.2">
      <c r="A134" s="35"/>
      <c r="B134" s="250" t="s">
        <v>196</v>
      </c>
      <c r="C134" s="209" t="s">
        <v>46</v>
      </c>
      <c r="D134" s="211" t="s">
        <v>27</v>
      </c>
      <c r="E134" s="199"/>
      <c r="F134" s="154"/>
      <c r="G134" s="155"/>
      <c r="H134" s="49"/>
      <c r="I134" s="48"/>
      <c r="J134" s="50">
        <v>1E-3</v>
      </c>
      <c r="K134" s="48">
        <f>ROUND(IF(J134&gt;0,44.01*J134/12.011,44.01*0.001/12.011),3)</f>
        <v>4.0000000000000001E-3</v>
      </c>
      <c r="L134" s="87" t="s">
        <v>95</v>
      </c>
      <c r="M134" s="87" t="s">
        <v>95</v>
      </c>
      <c r="N134" s="57">
        <v>6.5</v>
      </c>
      <c r="O134" s="130"/>
      <c r="P134" s="130"/>
      <c r="Q134" s="130"/>
      <c r="R134" s="56" t="str">
        <f t="shared" si="6"/>
        <v>na</v>
      </c>
      <c r="S134" s="273"/>
      <c r="T134" s="273"/>
      <c r="U134" s="47"/>
      <c r="V134" s="43">
        <f t="shared" si="4"/>
        <v>0</v>
      </c>
      <c r="W134" s="43"/>
      <c r="X134" s="273">
        <f t="shared" si="2"/>
        <v>0</v>
      </c>
      <c r="Y134" s="273"/>
      <c r="Z134" s="273">
        <f t="shared" si="3"/>
        <v>0</v>
      </c>
      <c r="AA134" s="273"/>
      <c r="AB134" s="43"/>
      <c r="AC134" s="44">
        <f t="shared" si="5"/>
        <v>0</v>
      </c>
      <c r="AD134" s="249"/>
    </row>
    <row r="135" spans="1:30" ht="15" x14ac:dyDescent="0.2">
      <c r="A135" s="35"/>
      <c r="B135" s="250" t="s">
        <v>196</v>
      </c>
      <c r="C135" s="209" t="s">
        <v>69</v>
      </c>
      <c r="D135" s="211" t="s">
        <v>27</v>
      </c>
      <c r="E135" s="199"/>
      <c r="F135" s="154"/>
      <c r="G135" s="155"/>
      <c r="H135" s="49"/>
      <c r="I135" s="48"/>
      <c r="J135" s="50">
        <v>5.0000000000000001E-3</v>
      </c>
      <c r="K135" s="48">
        <f>ROUND(IF(J135&gt;0,44.01*J135/12.011,44.01*0.005/12.011),3)</f>
        <v>1.7999999999999999E-2</v>
      </c>
      <c r="L135" s="87" t="s">
        <v>95</v>
      </c>
      <c r="M135" s="87" t="s">
        <v>95</v>
      </c>
      <c r="N135" s="57">
        <v>8.5</v>
      </c>
      <c r="O135" s="130"/>
      <c r="P135" s="130"/>
      <c r="Q135" s="130"/>
      <c r="R135" s="56" t="str">
        <f t="shared" si="6"/>
        <v>na</v>
      </c>
      <c r="S135" s="273"/>
      <c r="T135" s="273"/>
      <c r="U135" s="47"/>
      <c r="V135" s="43">
        <f t="shared" si="4"/>
        <v>0</v>
      </c>
      <c r="W135" s="43"/>
      <c r="X135" s="273">
        <f t="shared" si="2"/>
        <v>0</v>
      </c>
      <c r="Y135" s="273"/>
      <c r="Z135" s="273">
        <f t="shared" si="3"/>
        <v>0</v>
      </c>
      <c r="AA135" s="273"/>
      <c r="AB135" s="43"/>
      <c r="AC135" s="44">
        <f t="shared" si="5"/>
        <v>0</v>
      </c>
      <c r="AD135" s="249"/>
    </row>
    <row r="136" spans="1:30" ht="15" x14ac:dyDescent="0.2">
      <c r="A136" s="35"/>
      <c r="B136" s="250" t="s">
        <v>196</v>
      </c>
      <c r="C136" s="210" t="s">
        <v>47</v>
      </c>
      <c r="D136" s="211" t="s">
        <v>27</v>
      </c>
      <c r="E136" s="199"/>
      <c r="F136" s="154"/>
      <c r="G136" s="155"/>
      <c r="H136" s="51"/>
      <c r="I136" s="50"/>
      <c r="J136" s="50">
        <v>0.05</v>
      </c>
      <c r="K136" s="48">
        <f>ROUND(IF(J136&gt;0,44.01*J136/12.011,44.01*0.05/12.011),3)</f>
        <v>0.183</v>
      </c>
      <c r="L136" s="87" t="s">
        <v>95</v>
      </c>
      <c r="M136" s="87" t="s">
        <v>95</v>
      </c>
      <c r="N136" s="57">
        <v>2.7890000000000001</v>
      </c>
      <c r="O136" s="130"/>
      <c r="P136" s="130"/>
      <c r="Q136" s="130"/>
      <c r="R136" s="56" t="str">
        <f t="shared" si="6"/>
        <v>na</v>
      </c>
      <c r="S136" s="273"/>
      <c r="T136" s="273"/>
      <c r="U136" s="47"/>
      <c r="V136" s="43">
        <f t="shared" si="4"/>
        <v>0</v>
      </c>
      <c r="W136" s="43"/>
      <c r="X136" s="273">
        <f t="shared" si="2"/>
        <v>0</v>
      </c>
      <c r="Y136" s="273"/>
      <c r="Z136" s="273">
        <f t="shared" si="3"/>
        <v>0</v>
      </c>
      <c r="AA136" s="273"/>
      <c r="AB136" s="43"/>
      <c r="AC136" s="44">
        <f t="shared" si="5"/>
        <v>0</v>
      </c>
      <c r="AD136" s="249"/>
    </row>
    <row r="137" spans="1:30" ht="15" x14ac:dyDescent="0.2">
      <c r="A137" s="35"/>
      <c r="B137" s="250" t="s">
        <v>196</v>
      </c>
      <c r="C137" s="210" t="s">
        <v>67</v>
      </c>
      <c r="D137" s="211" t="s">
        <v>27</v>
      </c>
      <c r="E137" s="199"/>
      <c r="F137" s="154"/>
      <c r="G137" s="155"/>
      <c r="H137" s="51"/>
      <c r="I137" s="50"/>
      <c r="J137" s="50">
        <v>1E-3</v>
      </c>
      <c r="K137" s="48">
        <f>ROUND(IF(J137&gt;0,44.01*J137/12.011,44.01*0.001/12.011),3)</f>
        <v>4.0000000000000001E-3</v>
      </c>
      <c r="L137" s="87" t="s">
        <v>95</v>
      </c>
      <c r="M137" s="87" t="s">
        <v>95</v>
      </c>
      <c r="N137" s="57">
        <v>4</v>
      </c>
      <c r="O137" s="130"/>
      <c r="P137" s="130"/>
      <c r="Q137" s="130"/>
      <c r="R137" s="56" t="str">
        <f t="shared" si="6"/>
        <v>na</v>
      </c>
      <c r="S137" s="273"/>
      <c r="T137" s="273"/>
      <c r="U137" s="47"/>
      <c r="V137" s="43">
        <f t="shared" si="4"/>
        <v>0</v>
      </c>
      <c r="W137" s="43"/>
      <c r="X137" s="273">
        <f t="shared" si="2"/>
        <v>0</v>
      </c>
      <c r="Y137" s="273"/>
      <c r="Z137" s="273">
        <f t="shared" si="3"/>
        <v>0</v>
      </c>
      <c r="AA137" s="273"/>
      <c r="AB137" s="43"/>
      <c r="AC137" s="44">
        <f t="shared" si="5"/>
        <v>0</v>
      </c>
      <c r="AD137" s="249"/>
    </row>
    <row r="138" spans="1:30" ht="15" x14ac:dyDescent="0.2">
      <c r="A138" s="35"/>
      <c r="B138" s="250" t="s">
        <v>196</v>
      </c>
      <c r="C138" s="210" t="s">
        <v>68</v>
      </c>
      <c r="D138" s="211" t="s">
        <v>27</v>
      </c>
      <c r="E138" s="199"/>
      <c r="F138" s="154"/>
      <c r="G138" s="155"/>
      <c r="H138" s="51"/>
      <c r="I138" s="50"/>
      <c r="J138" s="50">
        <v>5.0000000000000001E-3</v>
      </c>
      <c r="K138" s="48">
        <f>ROUND(IF(J138&gt;0,44.01*J138/12.011,44.01*0.005/12.011),3)</f>
        <v>1.7999999999999999E-2</v>
      </c>
      <c r="L138" s="87" t="s">
        <v>95</v>
      </c>
      <c r="M138" s="87" t="s">
        <v>95</v>
      </c>
      <c r="N138" s="57">
        <v>2.8</v>
      </c>
      <c r="O138" s="130"/>
      <c r="P138" s="130"/>
      <c r="Q138" s="130"/>
      <c r="R138" s="56" t="str">
        <f t="shared" si="6"/>
        <v>na</v>
      </c>
      <c r="S138" s="273"/>
      <c r="T138" s="273"/>
      <c r="U138" s="47"/>
      <c r="V138" s="43">
        <f t="shared" si="4"/>
        <v>0</v>
      </c>
      <c r="W138" s="43"/>
      <c r="X138" s="273">
        <f t="shared" si="2"/>
        <v>0</v>
      </c>
      <c r="Y138" s="273"/>
      <c r="Z138" s="273">
        <f t="shared" si="3"/>
        <v>0</v>
      </c>
      <c r="AA138" s="273"/>
      <c r="AB138" s="43"/>
      <c r="AC138" s="44">
        <f t="shared" si="5"/>
        <v>0</v>
      </c>
      <c r="AD138" s="249"/>
    </row>
    <row r="139" spans="1:30" ht="15" x14ac:dyDescent="0.2">
      <c r="A139" s="35"/>
      <c r="B139" s="250" t="s">
        <v>196</v>
      </c>
      <c r="C139" s="210" t="s">
        <v>87</v>
      </c>
      <c r="D139" s="211" t="s">
        <v>27</v>
      </c>
      <c r="E139" s="199"/>
      <c r="F139" s="154"/>
      <c r="G139" s="155"/>
      <c r="H139" s="51"/>
      <c r="I139" s="50"/>
      <c r="J139" s="50">
        <v>1E-3</v>
      </c>
      <c r="K139" s="48">
        <f>ROUND(IF(J139&gt;0,44.01*J139/12.011,44.01*0.001/12.011),3)</f>
        <v>4.0000000000000001E-3</v>
      </c>
      <c r="L139" s="87" t="s">
        <v>95</v>
      </c>
      <c r="M139" s="87" t="s">
        <v>95</v>
      </c>
      <c r="N139" s="57">
        <v>5</v>
      </c>
      <c r="O139" s="130"/>
      <c r="P139" s="130"/>
      <c r="Q139" s="130"/>
      <c r="R139" s="56" t="str">
        <f t="shared" si="6"/>
        <v>na</v>
      </c>
      <c r="S139" s="273"/>
      <c r="T139" s="273"/>
      <c r="U139" s="47"/>
      <c r="V139" s="43">
        <f t="shared" si="4"/>
        <v>0</v>
      </c>
      <c r="W139" s="43"/>
      <c r="X139" s="273">
        <f t="shared" si="2"/>
        <v>0</v>
      </c>
      <c r="Y139" s="273"/>
      <c r="Z139" s="273">
        <f t="shared" si="3"/>
        <v>0</v>
      </c>
      <c r="AA139" s="273"/>
      <c r="AB139" s="43"/>
      <c r="AC139" s="44">
        <f t="shared" si="5"/>
        <v>0</v>
      </c>
      <c r="AD139" s="249"/>
    </row>
    <row r="140" spans="1:30" ht="15" x14ac:dyDescent="0.2">
      <c r="A140" s="188"/>
      <c r="B140" s="250" t="s">
        <v>196</v>
      </c>
      <c r="C140" s="210" t="s">
        <v>143</v>
      </c>
      <c r="D140" s="211" t="s">
        <v>27</v>
      </c>
      <c r="E140" s="199"/>
      <c r="F140" s="154"/>
      <c r="G140" s="155"/>
      <c r="H140" s="51"/>
      <c r="I140" s="50"/>
      <c r="J140" s="50"/>
      <c r="K140" s="48"/>
      <c r="L140" s="87"/>
      <c r="M140" s="87"/>
      <c r="N140" s="57">
        <v>16.5</v>
      </c>
      <c r="O140" s="130"/>
      <c r="P140" s="130"/>
      <c r="Q140" s="130"/>
      <c r="R140" s="56" t="str">
        <f t="shared" si="6"/>
        <v>na</v>
      </c>
      <c r="S140" s="273"/>
      <c r="T140" s="273"/>
      <c r="U140" s="47"/>
      <c r="V140" s="43">
        <f t="shared" si="4"/>
        <v>0</v>
      </c>
      <c r="W140" s="43"/>
      <c r="X140" s="273">
        <f t="shared" si="2"/>
        <v>0</v>
      </c>
      <c r="Y140" s="273"/>
      <c r="Z140" s="273">
        <f t="shared" si="3"/>
        <v>0</v>
      </c>
      <c r="AA140" s="273"/>
      <c r="AB140" s="43"/>
      <c r="AC140" s="44">
        <f t="shared" si="5"/>
        <v>0</v>
      </c>
      <c r="AD140" s="249"/>
    </row>
    <row r="141" spans="1:30" ht="15" x14ac:dyDescent="0.2">
      <c r="A141" s="188"/>
      <c r="B141" s="250" t="s">
        <v>196</v>
      </c>
      <c r="C141" s="210" t="s">
        <v>144</v>
      </c>
      <c r="D141" s="211" t="s">
        <v>27</v>
      </c>
      <c r="E141" s="199"/>
      <c r="F141" s="154"/>
      <c r="G141" s="155"/>
      <c r="H141" s="51"/>
      <c r="I141" s="50"/>
      <c r="J141" s="50"/>
      <c r="K141" s="48"/>
      <c r="L141" s="87"/>
      <c r="M141" s="87"/>
      <c r="N141" s="57">
        <v>4.0999999999999996</v>
      </c>
      <c r="O141" s="130"/>
      <c r="P141" s="130"/>
      <c r="Q141" s="130"/>
      <c r="R141" s="56" t="str">
        <f t="shared" si="6"/>
        <v>na</v>
      </c>
      <c r="S141" s="273"/>
      <c r="T141" s="273"/>
      <c r="U141" s="47"/>
      <c r="V141" s="43">
        <f t="shared" si="4"/>
        <v>0</v>
      </c>
      <c r="W141" s="43"/>
      <c r="X141" s="273">
        <f t="shared" si="2"/>
        <v>0</v>
      </c>
      <c r="Y141" s="273"/>
      <c r="Z141" s="273">
        <f t="shared" si="3"/>
        <v>0</v>
      </c>
      <c r="AA141" s="273"/>
      <c r="AB141" s="43"/>
      <c r="AC141" s="44">
        <f t="shared" si="5"/>
        <v>0</v>
      </c>
      <c r="AD141" s="249"/>
    </row>
    <row r="142" spans="1:30" ht="15" x14ac:dyDescent="0.2">
      <c r="A142" s="188"/>
      <c r="B142" s="250" t="s">
        <v>196</v>
      </c>
      <c r="C142" s="210" t="s">
        <v>145</v>
      </c>
      <c r="D142" s="211" t="s">
        <v>27</v>
      </c>
      <c r="E142" s="199"/>
      <c r="F142" s="154"/>
      <c r="G142" s="155"/>
      <c r="H142" s="51"/>
      <c r="I142" s="50"/>
      <c r="J142" s="50"/>
      <c r="K142" s="48"/>
      <c r="L142" s="87"/>
      <c r="M142" s="87"/>
      <c r="N142" s="57" t="s">
        <v>185</v>
      </c>
      <c r="O142" s="130"/>
      <c r="P142" s="130"/>
      <c r="Q142" s="130"/>
      <c r="R142" s="56" t="str">
        <f t="shared" si="6"/>
        <v>na</v>
      </c>
      <c r="S142" s="273"/>
      <c r="T142" s="273"/>
      <c r="U142" s="47"/>
      <c r="V142" s="43">
        <f t="shared" si="4"/>
        <v>0</v>
      </c>
      <c r="W142" s="43"/>
      <c r="X142" s="273">
        <f t="shared" si="2"/>
        <v>0</v>
      </c>
      <c r="Y142" s="273"/>
      <c r="Z142" s="273">
        <f t="shared" si="3"/>
        <v>0</v>
      </c>
      <c r="AA142" s="273"/>
      <c r="AB142" s="43"/>
      <c r="AC142" s="44">
        <f>ROUND(IF($U142&lt;&gt;"na",$U142,$N142)*($F142-$G142),6)</f>
        <v>0</v>
      </c>
      <c r="AD142" s="249"/>
    </row>
    <row r="143" spans="1:30" ht="15" x14ac:dyDescent="0.2">
      <c r="A143" s="188"/>
      <c r="B143" s="250" t="s">
        <v>196</v>
      </c>
      <c r="C143" s="210" t="s">
        <v>146</v>
      </c>
      <c r="D143" s="211" t="s">
        <v>27</v>
      </c>
      <c r="E143" s="199"/>
      <c r="F143" s="154"/>
      <c r="G143" s="155"/>
      <c r="H143" s="51"/>
      <c r="I143" s="50"/>
      <c r="J143" s="50"/>
      <c r="K143" s="48"/>
      <c r="L143" s="87"/>
      <c r="M143" s="87"/>
      <c r="N143" s="57" t="s">
        <v>185</v>
      </c>
      <c r="O143" s="130"/>
      <c r="P143" s="130"/>
      <c r="Q143" s="130"/>
      <c r="R143" s="56" t="str">
        <f t="shared" si="6"/>
        <v>na</v>
      </c>
      <c r="S143" s="273"/>
      <c r="T143" s="273"/>
      <c r="U143" s="47"/>
      <c r="V143" s="43">
        <f t="shared" si="4"/>
        <v>0</v>
      </c>
      <c r="W143" s="43"/>
      <c r="X143" s="273">
        <f t="shared" si="2"/>
        <v>0</v>
      </c>
      <c r="Y143" s="273"/>
      <c r="Z143" s="273">
        <f t="shared" si="3"/>
        <v>0</v>
      </c>
      <c r="AA143" s="273"/>
      <c r="AB143" s="43"/>
      <c r="AC143" s="44">
        <f>ROUND(IF($U143&lt;&gt;"na",$U143,$N143)*($F143-$G143),6)</f>
        <v>0</v>
      </c>
      <c r="AD143" s="249"/>
    </row>
    <row r="144" spans="1:30" ht="15" x14ac:dyDescent="0.2">
      <c r="A144" s="188"/>
      <c r="B144" s="250" t="s">
        <v>196</v>
      </c>
      <c r="C144" s="210" t="s">
        <v>147</v>
      </c>
      <c r="D144" s="211" t="s">
        <v>27</v>
      </c>
      <c r="E144" s="199"/>
      <c r="F144" s="154"/>
      <c r="G144" s="155"/>
      <c r="H144" s="51"/>
      <c r="I144" s="50"/>
      <c r="J144" s="50"/>
      <c r="K144" s="48"/>
      <c r="L144" s="87"/>
      <c r="M144" s="87"/>
      <c r="N144" s="57" t="s">
        <v>185</v>
      </c>
      <c r="O144" s="130"/>
      <c r="P144" s="130"/>
      <c r="Q144" s="130"/>
      <c r="R144" s="56" t="str">
        <f t="shared" si="6"/>
        <v>na</v>
      </c>
      <c r="S144" s="273"/>
      <c r="T144" s="273"/>
      <c r="U144" s="47"/>
      <c r="V144" s="43">
        <f t="shared" si="4"/>
        <v>0</v>
      </c>
      <c r="W144" s="43"/>
      <c r="X144" s="273">
        <f t="shared" si="2"/>
        <v>0</v>
      </c>
      <c r="Y144" s="273"/>
      <c r="Z144" s="273">
        <f t="shared" si="3"/>
        <v>0</v>
      </c>
      <c r="AA144" s="273"/>
      <c r="AB144" s="43"/>
      <c r="AC144" s="44">
        <f>ROUND(IF($U144&lt;&gt;"na",$U144,$N144)*($F144-$G144),6)</f>
        <v>0</v>
      </c>
      <c r="AD144" s="249"/>
    </row>
    <row r="145" spans="1:30" ht="15" x14ac:dyDescent="0.2">
      <c r="A145" s="188"/>
      <c r="B145" s="250" t="s">
        <v>196</v>
      </c>
      <c r="C145" s="210" t="s">
        <v>148</v>
      </c>
      <c r="D145" s="211" t="s">
        <v>27</v>
      </c>
      <c r="E145" s="199"/>
      <c r="F145" s="154"/>
      <c r="G145" s="155"/>
      <c r="H145" s="51"/>
      <c r="I145" s="50"/>
      <c r="J145" s="50"/>
      <c r="K145" s="48"/>
      <c r="L145" s="87"/>
      <c r="M145" s="87"/>
      <c r="N145" s="57">
        <v>6</v>
      </c>
      <c r="O145" s="130"/>
      <c r="P145" s="130"/>
      <c r="Q145" s="130"/>
      <c r="R145" s="56" t="str">
        <f t="shared" si="6"/>
        <v>na</v>
      </c>
      <c r="S145" s="273"/>
      <c r="T145" s="273"/>
      <c r="U145" s="47"/>
      <c r="V145" s="43">
        <f t="shared" si="4"/>
        <v>0</v>
      </c>
      <c r="W145" s="43"/>
      <c r="X145" s="273">
        <f t="shared" si="2"/>
        <v>0</v>
      </c>
      <c r="Y145" s="273"/>
      <c r="Z145" s="273">
        <f t="shared" si="3"/>
        <v>0</v>
      </c>
      <c r="AA145" s="273"/>
      <c r="AB145" s="43"/>
      <c r="AC145" s="44">
        <f>ROUND(IF($U145&lt;&gt;"",$U145,$N145)*($F145-$G145),6)</f>
        <v>0</v>
      </c>
      <c r="AD145" s="249"/>
    </row>
    <row r="146" spans="1:30" ht="15" x14ac:dyDescent="0.2">
      <c r="A146" s="188"/>
      <c r="B146" s="250" t="s">
        <v>196</v>
      </c>
      <c r="C146" s="210" t="s">
        <v>149</v>
      </c>
      <c r="D146" s="211" t="s">
        <v>27</v>
      </c>
      <c r="E146" s="199"/>
      <c r="F146" s="154"/>
      <c r="G146" s="155"/>
      <c r="H146" s="51"/>
      <c r="I146" s="50"/>
      <c r="J146" s="50"/>
      <c r="K146" s="48"/>
      <c r="L146" s="87"/>
      <c r="M146" s="87"/>
      <c r="N146" s="57">
        <v>6.6319999999999997</v>
      </c>
      <c r="O146" s="130"/>
      <c r="P146" s="130"/>
      <c r="Q146" s="130"/>
      <c r="R146" s="56" t="str">
        <f t="shared" si="6"/>
        <v>na</v>
      </c>
      <c r="S146" s="273"/>
      <c r="T146" s="273"/>
      <c r="U146" s="47"/>
      <c r="V146" s="43">
        <f t="shared" si="4"/>
        <v>0</v>
      </c>
      <c r="W146" s="43"/>
      <c r="X146" s="273">
        <f t="shared" si="2"/>
        <v>0</v>
      </c>
      <c r="Y146" s="273"/>
      <c r="Z146" s="273">
        <f t="shared" si="3"/>
        <v>0</v>
      </c>
      <c r="AA146" s="273"/>
      <c r="AB146" s="43"/>
      <c r="AC146" s="44">
        <f>ROUND(IF($U146&lt;&gt;"",$U146,$N146)*($F146-$G146),6)</f>
        <v>0</v>
      </c>
      <c r="AD146" s="249"/>
    </row>
    <row r="147" spans="1:30" ht="15" x14ac:dyDescent="0.2">
      <c r="A147" s="188"/>
      <c r="B147" s="250" t="s">
        <v>196</v>
      </c>
      <c r="C147" s="210" t="s">
        <v>150</v>
      </c>
      <c r="D147" s="211" t="s">
        <v>27</v>
      </c>
      <c r="E147" s="199"/>
      <c r="F147" s="154"/>
      <c r="G147" s="155"/>
      <c r="H147" s="51"/>
      <c r="I147" s="50"/>
      <c r="J147" s="50"/>
      <c r="K147" s="48"/>
      <c r="L147" s="87"/>
      <c r="M147" s="87"/>
      <c r="N147" s="57">
        <v>16.5</v>
      </c>
      <c r="O147" s="130"/>
      <c r="P147" s="130"/>
      <c r="Q147" s="130"/>
      <c r="R147" s="56" t="str">
        <f t="shared" si="6"/>
        <v>na</v>
      </c>
      <c r="S147" s="273"/>
      <c r="T147" s="273"/>
      <c r="U147" s="47"/>
      <c r="V147" s="43">
        <f t="shared" si="4"/>
        <v>0</v>
      </c>
      <c r="W147" s="43"/>
      <c r="X147" s="273">
        <f t="shared" si="2"/>
        <v>0</v>
      </c>
      <c r="Y147" s="273"/>
      <c r="Z147" s="273">
        <f t="shared" si="3"/>
        <v>0</v>
      </c>
      <c r="AA147" s="273"/>
      <c r="AB147" s="43"/>
      <c r="AC147" s="44">
        <f>ROUND(IF($U147&lt;&gt;"",$U147,$N147)*($F147-$G147),6)</f>
        <v>0</v>
      </c>
      <c r="AD147" s="249"/>
    </row>
    <row r="148" spans="1:30" ht="15" x14ac:dyDescent="0.2">
      <c r="A148" s="188"/>
      <c r="B148" s="250" t="s">
        <v>196</v>
      </c>
      <c r="C148" s="210" t="s">
        <v>151</v>
      </c>
      <c r="D148" s="211" t="s">
        <v>27</v>
      </c>
      <c r="E148" s="199"/>
      <c r="F148" s="154"/>
      <c r="G148" s="155"/>
      <c r="H148" s="51"/>
      <c r="I148" s="50"/>
      <c r="J148" s="50"/>
      <c r="K148" s="48"/>
      <c r="L148" s="87"/>
      <c r="M148" s="87"/>
      <c r="N148" s="57">
        <v>3.8180000000000001</v>
      </c>
      <c r="O148" s="130"/>
      <c r="P148" s="130"/>
      <c r="Q148" s="130"/>
      <c r="R148" s="56" t="str">
        <f t="shared" si="6"/>
        <v>na</v>
      </c>
      <c r="S148" s="273"/>
      <c r="T148" s="273"/>
      <c r="U148" s="47"/>
      <c r="V148" s="43">
        <f t="shared" si="4"/>
        <v>0</v>
      </c>
      <c r="W148" s="43"/>
      <c r="X148" s="273">
        <f t="shared" si="2"/>
        <v>0</v>
      </c>
      <c r="Y148" s="273"/>
      <c r="Z148" s="273">
        <f t="shared" si="3"/>
        <v>0</v>
      </c>
      <c r="AA148" s="273"/>
      <c r="AB148" s="43"/>
      <c r="AC148" s="44">
        <f>ROUND(IF($U148&lt;&gt;"",$U148,$N148)*($F148-$G148),6)</f>
        <v>0</v>
      </c>
      <c r="AD148" s="249"/>
    </row>
    <row r="149" spans="1:30" ht="15" x14ac:dyDescent="0.2">
      <c r="A149" s="188"/>
      <c r="B149" s="250" t="s">
        <v>193</v>
      </c>
      <c r="C149" s="210" t="s">
        <v>152</v>
      </c>
      <c r="D149" s="211" t="s">
        <v>27</v>
      </c>
      <c r="E149" s="199"/>
      <c r="F149" s="154"/>
      <c r="G149" s="155"/>
      <c r="H149" s="51"/>
      <c r="I149" s="50"/>
      <c r="J149" s="50"/>
      <c r="K149" s="48"/>
      <c r="L149" s="87"/>
      <c r="M149" s="87"/>
      <c r="N149" s="57" t="s">
        <v>185</v>
      </c>
      <c r="O149" s="130"/>
      <c r="P149" s="130"/>
      <c r="Q149" s="130"/>
      <c r="R149" s="56" t="str">
        <f t="shared" si="6"/>
        <v>na</v>
      </c>
      <c r="S149" s="273"/>
      <c r="T149" s="273"/>
      <c r="U149" s="47"/>
      <c r="V149" s="43">
        <f t="shared" si="4"/>
        <v>0</v>
      </c>
      <c r="W149" s="43"/>
      <c r="X149" s="273">
        <f t="shared" si="2"/>
        <v>0</v>
      </c>
      <c r="Y149" s="273"/>
      <c r="Z149" s="273">
        <f t="shared" si="3"/>
        <v>0</v>
      </c>
      <c r="AA149" s="273"/>
      <c r="AB149" s="43"/>
      <c r="AC149" s="44">
        <f>ROUND(IF($U149&lt;&gt;"na",$U149,$N149)*($F149-$G149),6)</f>
        <v>0</v>
      </c>
      <c r="AD149" s="249"/>
    </row>
    <row r="150" spans="1:30" ht="15" x14ac:dyDescent="0.2">
      <c r="A150" s="188"/>
      <c r="B150" s="250" t="s">
        <v>196</v>
      </c>
      <c r="C150" s="210" t="s">
        <v>153</v>
      </c>
      <c r="D150" s="211" t="s">
        <v>27</v>
      </c>
      <c r="E150" s="199"/>
      <c r="F150" s="154"/>
      <c r="G150" s="155"/>
      <c r="H150" s="51"/>
      <c r="I150" s="50"/>
      <c r="J150" s="50"/>
      <c r="K150" s="48"/>
      <c r="L150" s="87"/>
      <c r="M150" s="87"/>
      <c r="N150" s="57">
        <v>28.2</v>
      </c>
      <c r="O150" s="130"/>
      <c r="P150" s="130"/>
      <c r="Q150" s="130"/>
      <c r="R150" s="56" t="str">
        <f t="shared" si="6"/>
        <v>na</v>
      </c>
      <c r="S150" s="273"/>
      <c r="T150" s="273"/>
      <c r="U150" s="47"/>
      <c r="V150" s="43">
        <f t="shared" si="4"/>
        <v>0</v>
      </c>
      <c r="W150" s="43"/>
      <c r="X150" s="273">
        <f t="shared" si="2"/>
        <v>0</v>
      </c>
      <c r="Y150" s="273"/>
      <c r="Z150" s="273">
        <f t="shared" si="3"/>
        <v>0</v>
      </c>
      <c r="AA150" s="273"/>
      <c r="AB150" s="43"/>
      <c r="AC150" s="44">
        <f>ROUND(IF($U150&lt;&gt;"",$U150,$N150)*($F150-$G150),6)</f>
        <v>0</v>
      </c>
      <c r="AD150" s="249"/>
    </row>
    <row r="151" spans="1:30" ht="15" x14ac:dyDescent="0.2">
      <c r="A151" s="188"/>
      <c r="B151" s="250" t="s">
        <v>196</v>
      </c>
      <c r="C151" s="210" t="s">
        <v>154</v>
      </c>
      <c r="D151" s="211" t="s">
        <v>27</v>
      </c>
      <c r="E151" s="199"/>
      <c r="F151" s="154"/>
      <c r="G151" s="155"/>
      <c r="H151" s="51"/>
      <c r="I151" s="50"/>
      <c r="J151" s="50"/>
      <c r="K151" s="48"/>
      <c r="L151" s="87"/>
      <c r="M151" s="87"/>
      <c r="N151" s="57">
        <v>5.09</v>
      </c>
      <c r="O151" s="130"/>
      <c r="P151" s="130"/>
      <c r="Q151" s="130"/>
      <c r="R151" s="56" t="str">
        <f t="shared" si="6"/>
        <v>na</v>
      </c>
      <c r="S151" s="273"/>
      <c r="T151" s="273"/>
      <c r="U151" s="47"/>
      <c r="V151" s="43">
        <f t="shared" si="4"/>
        <v>0</v>
      </c>
      <c r="W151" s="43"/>
      <c r="X151" s="273">
        <f t="shared" si="2"/>
        <v>0</v>
      </c>
      <c r="Y151" s="273"/>
      <c r="Z151" s="273">
        <f t="shared" si="3"/>
        <v>0</v>
      </c>
      <c r="AA151" s="273"/>
      <c r="AB151" s="43"/>
      <c r="AC151" s="44">
        <f>ROUND(IF($U151&lt;&gt;"",$U151,$N151)*($F151-$G151),6)</f>
        <v>0</v>
      </c>
      <c r="AD151" s="249"/>
    </row>
    <row r="152" spans="1:30" ht="15" x14ac:dyDescent="0.2">
      <c r="A152" s="188"/>
      <c r="B152" s="250" t="s">
        <v>193</v>
      </c>
      <c r="C152" s="210" t="s">
        <v>155</v>
      </c>
      <c r="D152" s="211" t="s">
        <v>27</v>
      </c>
      <c r="E152" s="199"/>
      <c r="F152" s="154"/>
      <c r="G152" s="155"/>
      <c r="H152" s="51"/>
      <c r="I152" s="50"/>
      <c r="J152" s="50"/>
      <c r="K152" s="48"/>
      <c r="L152" s="87"/>
      <c r="M152" s="87"/>
      <c r="N152" s="57" t="s">
        <v>185</v>
      </c>
      <c r="O152" s="130"/>
      <c r="P152" s="130"/>
      <c r="Q152" s="130"/>
      <c r="R152" s="56" t="str">
        <f t="shared" si="6"/>
        <v>na</v>
      </c>
      <c r="S152" s="273"/>
      <c r="T152" s="273"/>
      <c r="U152" s="47"/>
      <c r="V152" s="43">
        <f t="shared" si="4"/>
        <v>0</v>
      </c>
      <c r="W152" s="43"/>
      <c r="X152" s="273">
        <f t="shared" si="2"/>
        <v>0</v>
      </c>
      <c r="Y152" s="273"/>
      <c r="Z152" s="273">
        <f t="shared" si="3"/>
        <v>0</v>
      </c>
      <c r="AA152" s="273"/>
      <c r="AB152" s="43"/>
      <c r="AC152" s="44">
        <f>ROUND(IF($U152&lt;&gt;"na",$U152,$N152)*($F152-$G152),6)</f>
        <v>0</v>
      </c>
      <c r="AD152" s="249"/>
    </row>
    <row r="153" spans="1:30" ht="15" x14ac:dyDescent="0.2">
      <c r="A153" s="35"/>
      <c r="B153" s="250" t="s">
        <v>48</v>
      </c>
      <c r="C153" s="210" t="s">
        <v>48</v>
      </c>
      <c r="D153" s="211" t="s">
        <v>49</v>
      </c>
      <c r="E153" s="199"/>
      <c r="F153" s="154"/>
      <c r="G153" s="155"/>
      <c r="H153" s="51"/>
      <c r="I153" s="50">
        <v>9.8000000000000007</v>
      </c>
      <c r="J153" s="58"/>
      <c r="K153" s="58"/>
      <c r="L153" s="88" t="s">
        <v>95</v>
      </c>
      <c r="M153" s="88" t="s">
        <v>95</v>
      </c>
      <c r="N153" s="60">
        <v>0.504</v>
      </c>
      <c r="O153" s="130"/>
      <c r="P153" s="130"/>
      <c r="Q153" s="130"/>
      <c r="R153" s="58"/>
      <c r="S153" s="273"/>
      <c r="T153" s="273"/>
      <c r="U153" s="47">
        <v>0.7</v>
      </c>
      <c r="V153" s="43">
        <f t="shared" si="4"/>
        <v>0</v>
      </c>
      <c r="W153" s="43"/>
      <c r="X153" s="273">
        <f t="shared" si="2"/>
        <v>0</v>
      </c>
      <c r="Y153" s="273"/>
      <c r="Z153" s="273">
        <f t="shared" si="3"/>
        <v>0</v>
      </c>
      <c r="AA153" s="273"/>
      <c r="AB153" s="92">
        <f>ROUND($U153*($F153-$G153),6)</f>
        <v>0</v>
      </c>
      <c r="AC153" s="44"/>
      <c r="AD153" s="249"/>
    </row>
    <row r="154" spans="1:30" ht="15" x14ac:dyDescent="0.2">
      <c r="A154" s="35"/>
      <c r="B154" s="250" t="s">
        <v>198</v>
      </c>
      <c r="C154" s="210" t="s">
        <v>50</v>
      </c>
      <c r="D154" s="211" t="s">
        <v>27</v>
      </c>
      <c r="E154" s="199"/>
      <c r="F154" s="154"/>
      <c r="G154" s="155"/>
      <c r="H154" s="49"/>
      <c r="I154" s="48">
        <v>3.8</v>
      </c>
      <c r="J154" s="58"/>
      <c r="K154" s="58"/>
      <c r="L154" s="88" t="s">
        <v>95</v>
      </c>
      <c r="M154" s="88" t="s">
        <v>95</v>
      </c>
      <c r="N154" s="57">
        <f>ROUND(IF(I154&gt;0,I154,3.8)*0.0514,3)</f>
        <v>0.19500000000000001</v>
      </c>
      <c r="O154" s="130"/>
      <c r="P154" s="130"/>
      <c r="Q154" s="130"/>
      <c r="R154" s="58"/>
      <c r="S154" s="273"/>
      <c r="T154" s="273"/>
      <c r="U154" s="56">
        <f>ROUND(IF(P154&gt;0,P154,I154)*IF(U153&gt;0,U153,N153)/IF(P153&gt;0,P153,I153),3)</f>
        <v>0.27100000000000002</v>
      </c>
      <c r="V154" s="43">
        <f t="shared" si="4"/>
        <v>0</v>
      </c>
      <c r="W154" s="43"/>
      <c r="X154" s="273">
        <f t="shared" si="2"/>
        <v>0</v>
      </c>
      <c r="Y154" s="273"/>
      <c r="Z154" s="273">
        <f t="shared" si="3"/>
        <v>0</v>
      </c>
      <c r="AA154" s="273"/>
      <c r="AB154" s="92">
        <f>ROUND($U154*($F154-$G154),6)</f>
        <v>0</v>
      </c>
      <c r="AC154" s="44"/>
      <c r="AD154" s="249"/>
    </row>
    <row r="155" spans="1:30" ht="17" x14ac:dyDescent="0.2">
      <c r="A155" s="35"/>
      <c r="B155" s="250" t="s">
        <v>199</v>
      </c>
      <c r="C155" s="210" t="s">
        <v>51</v>
      </c>
      <c r="D155" s="211" t="s">
        <v>115</v>
      </c>
      <c r="E155" s="199"/>
      <c r="F155" s="154"/>
      <c r="G155" s="155"/>
      <c r="H155" s="49"/>
      <c r="I155" s="48">
        <v>6.9</v>
      </c>
      <c r="J155" s="58"/>
      <c r="K155" s="58"/>
      <c r="L155" s="88" t="s">
        <v>95</v>
      </c>
      <c r="M155" s="88" t="s">
        <v>95</v>
      </c>
      <c r="N155" s="57">
        <f>ROUND(IF(I155&gt;0,I155,6.9)*0.0514,3)</f>
        <v>0.35499999999999998</v>
      </c>
      <c r="O155" s="130"/>
      <c r="P155" s="130"/>
      <c r="Q155" s="130"/>
      <c r="R155" s="58"/>
      <c r="S155" s="273"/>
      <c r="T155" s="273"/>
      <c r="U155" s="56">
        <f>ROUND(IF(P155&gt;0,P155,I155)*IF(U153&gt;0,U153,N153)/IF(P153&gt;0,P153,I153),3)</f>
        <v>0.49299999999999999</v>
      </c>
      <c r="V155" s="43">
        <f t="shared" si="4"/>
        <v>0</v>
      </c>
      <c r="W155" s="43"/>
      <c r="X155" s="273">
        <f t="shared" si="2"/>
        <v>0</v>
      </c>
      <c r="Y155" s="273"/>
      <c r="Z155" s="273">
        <f t="shared" si="3"/>
        <v>0</v>
      </c>
      <c r="AA155" s="273"/>
      <c r="AB155" s="43"/>
      <c r="AC155" s="129">
        <f>ROUND($U155*($F155-$G155),6)</f>
        <v>0</v>
      </c>
      <c r="AD155" s="249"/>
    </row>
    <row r="156" spans="1:30" ht="17" x14ac:dyDescent="0.2">
      <c r="A156" s="35"/>
      <c r="B156" s="250" t="s">
        <v>199</v>
      </c>
      <c r="C156" s="210" t="s">
        <v>52</v>
      </c>
      <c r="D156" s="211" t="s">
        <v>115</v>
      </c>
      <c r="E156" s="199"/>
      <c r="F156" s="154"/>
      <c r="G156" s="155"/>
      <c r="H156" s="49"/>
      <c r="I156" s="48">
        <v>2</v>
      </c>
      <c r="J156" s="58"/>
      <c r="K156" s="48"/>
      <c r="L156" s="87" t="s">
        <v>95</v>
      </c>
      <c r="M156" s="87" t="s">
        <v>95</v>
      </c>
      <c r="N156" s="57">
        <f>ROUND(IF(I156&gt;0,I156,2)*0.0514,3)</f>
        <v>0.10299999999999999</v>
      </c>
      <c r="O156" s="130"/>
      <c r="P156" s="130"/>
      <c r="Q156" s="130"/>
      <c r="R156" s="48"/>
      <c r="S156" s="273"/>
      <c r="T156" s="273"/>
      <c r="U156" s="56">
        <f>ROUND(IF(P156&gt;0,P156,I156)*IF(U153&gt;0,U153,N153)/IF(P153&gt;0,P153,I153),3)</f>
        <v>0.14299999999999999</v>
      </c>
      <c r="V156" s="43">
        <f t="shared" si="4"/>
        <v>0</v>
      </c>
      <c r="W156" s="43"/>
      <c r="X156" s="273">
        <f t="shared" ref="X156:X171" si="8">IFERROR(ROUND(IF($S156&lt;&gt;"",$S156,$L156)*($E156+$F156-$G156),6),0)</f>
        <v>0</v>
      </c>
      <c r="Y156" s="273"/>
      <c r="Z156" s="273">
        <f t="shared" ref="Z156:Z171" si="9">IFERROR(ROUND(IF($T156&lt;&gt;"",$T156,$M156)*($E156+$F156-$G156),6),0)</f>
        <v>0</v>
      </c>
      <c r="AA156" s="273"/>
      <c r="AB156" s="43"/>
      <c r="AC156" s="129">
        <f>ROUND($U156*($F156-$G156),6)</f>
        <v>0</v>
      </c>
      <c r="AD156" s="249"/>
    </row>
    <row r="157" spans="1:30" ht="17" x14ac:dyDescent="0.2">
      <c r="A157" s="35"/>
      <c r="B157" s="250" t="s">
        <v>199</v>
      </c>
      <c r="C157" s="210" t="s">
        <v>53</v>
      </c>
      <c r="D157" s="211" t="s">
        <v>115</v>
      </c>
      <c r="E157" s="199"/>
      <c r="F157" s="154"/>
      <c r="G157" s="155"/>
      <c r="H157" s="49"/>
      <c r="I157" s="48">
        <v>2</v>
      </c>
      <c r="J157" s="58"/>
      <c r="K157" s="48"/>
      <c r="L157" s="87" t="s">
        <v>95</v>
      </c>
      <c r="M157" s="87" t="s">
        <v>95</v>
      </c>
      <c r="N157" s="57">
        <f>ROUND(IF(I157&gt;0,I157,2)*0.0514,3)</f>
        <v>0.10299999999999999</v>
      </c>
      <c r="O157" s="130"/>
      <c r="P157" s="130"/>
      <c r="Q157" s="130"/>
      <c r="R157" s="48"/>
      <c r="S157" s="273"/>
      <c r="T157" s="273"/>
      <c r="U157" s="56">
        <f>ROUND(IF(P157&gt;0,P157,I157)*IF(U153&gt;0,U153,N153)/IF(P153&gt;0,P153,I153),3)</f>
        <v>0.14299999999999999</v>
      </c>
      <c r="V157" s="43">
        <f t="shared" si="4"/>
        <v>0</v>
      </c>
      <c r="W157" s="43"/>
      <c r="X157" s="273">
        <f t="shared" si="8"/>
        <v>0</v>
      </c>
      <c r="Y157" s="273"/>
      <c r="Z157" s="273">
        <f t="shared" si="9"/>
        <v>0</v>
      </c>
      <c r="AA157" s="273"/>
      <c r="AB157" s="43"/>
      <c r="AC157" s="129">
        <f>ROUND($U157*($F157-$G157),6)</f>
        <v>0</v>
      </c>
      <c r="AD157" s="249"/>
    </row>
    <row r="158" spans="1:30" ht="17" x14ac:dyDescent="0.2">
      <c r="A158" s="35"/>
      <c r="B158" s="250" t="s">
        <v>198</v>
      </c>
      <c r="C158" s="210" t="s">
        <v>63</v>
      </c>
      <c r="D158" s="211" t="s">
        <v>115</v>
      </c>
      <c r="E158" s="384">
        <f>F64</f>
        <v>0</v>
      </c>
      <c r="F158" s="384">
        <f>G64</f>
        <v>0</v>
      </c>
      <c r="G158" s="384">
        <f>H64</f>
        <v>0</v>
      </c>
      <c r="H158" s="51"/>
      <c r="I158" s="50">
        <v>19</v>
      </c>
      <c r="J158" s="50">
        <f>ROUND(0.836*12.011/44.01,3)</f>
        <v>0.22800000000000001</v>
      </c>
      <c r="K158" s="48">
        <f>ROUND(IF(J158&gt;0,44.01*J158/12.011,IF(H158&gt;0, H158,19)*0.044),3)</f>
        <v>0.83499999999999996</v>
      </c>
      <c r="L158" s="87">
        <v>1.9000000000000001E-5</v>
      </c>
      <c r="M158" s="87">
        <v>1.9999999999999999E-6</v>
      </c>
      <c r="N158" s="57">
        <f>ROUND(IF(I158&gt;0,I158,19)*IF(N153&gt;0,N153,0.504)/IF(I153&gt;0,I153,9.8),3)</f>
        <v>0.97699999999999998</v>
      </c>
      <c r="O158" s="130"/>
      <c r="P158" s="130"/>
      <c r="Q158" s="130"/>
      <c r="R158" s="56" t="str">
        <f>IF(Q158&gt;0,ROUND(44.01*Q158/12.011,6),IF(SUM(O158,P158)&gt;0, ROUND(SUM(O158,P158)*0.044,6),"na"))</f>
        <v>na</v>
      </c>
      <c r="S158" s="273"/>
      <c r="T158" s="273"/>
      <c r="U158" s="56">
        <f>ROUND(IF(P158&gt;0,P158,I158)*IF(U153&gt;0,U153,N153)/IF(P153&gt;0,P153,I153),3)</f>
        <v>1.357</v>
      </c>
      <c r="V158" s="43">
        <f t="shared" si="4"/>
        <v>0</v>
      </c>
      <c r="W158" s="43">
        <f>ROUND(IF($R158&lt;&gt;"na",-$R158,-$K158)*($F158-$G158),6)</f>
        <v>0</v>
      </c>
      <c r="X158" s="273">
        <f t="shared" si="8"/>
        <v>0</v>
      </c>
      <c r="Y158" s="273">
        <f>IFERROR(ROUND(IF($S158&lt;&gt;"",-$S158,-$L158)*($E158+$F158-$G158),6),0)</f>
        <v>0</v>
      </c>
      <c r="Z158" s="273">
        <f t="shared" si="9"/>
        <v>0</v>
      </c>
      <c r="AA158" s="273">
        <f>IFERROR(ROUND(IF($T158&lt;&gt;"",-$T158,-$M158)*($E158+$F158-$G158),6),0)</f>
        <v>0</v>
      </c>
      <c r="AB158" s="92">
        <f>ROUND($U158*($F158-$G158),6)</f>
        <v>0</v>
      </c>
      <c r="AC158" s="44"/>
      <c r="AD158" s="249"/>
    </row>
    <row r="159" spans="1:30" ht="17" x14ac:dyDescent="0.2">
      <c r="A159" s="35"/>
      <c r="B159" s="250" t="s">
        <v>198</v>
      </c>
      <c r="C159" s="210" t="s">
        <v>54</v>
      </c>
      <c r="D159" s="211" t="s">
        <v>115</v>
      </c>
      <c r="E159" s="384">
        <f>F65</f>
        <v>0</v>
      </c>
      <c r="F159" s="384">
        <f>G65</f>
        <v>0</v>
      </c>
      <c r="G159" s="384">
        <f>H65</f>
        <v>0</v>
      </c>
      <c r="H159" s="51"/>
      <c r="I159" s="50">
        <v>3.3</v>
      </c>
      <c r="J159" s="50">
        <f>ROUND(0.891*12.011/44.01,3)</f>
        <v>0.24299999999999999</v>
      </c>
      <c r="K159" s="48">
        <f>ROUND(IF(J159&gt;0,44.01*J159/12.011,IF(H159&gt;0,H159,3.3)*0.27),3)</f>
        <v>0.89</v>
      </c>
      <c r="L159" s="87">
        <v>3.0000000000000001E-6</v>
      </c>
      <c r="M159" s="87">
        <v>9.9999999999999995E-7</v>
      </c>
      <c r="N159" s="57">
        <f>ROUND(IF(I159&gt;0,I159,3.3)*IF(N153&gt;0,N153,0.504)/IF(I153&gt;0,I153,9.8),3)</f>
        <v>0.17</v>
      </c>
      <c r="O159" s="130"/>
      <c r="P159" s="130"/>
      <c r="Q159" s="130"/>
      <c r="R159" s="56" t="str">
        <f>IF(Q159&gt;0,ROUND(44.01*Q159/12.011,6),IF(SUM(O159,P159)&gt;0,ROUND(SUM(O159,P159)*0.27,6),"na"))</f>
        <v>na</v>
      </c>
      <c r="S159" s="273"/>
      <c r="T159" s="273"/>
      <c r="U159" s="56">
        <f>ROUND(IF(P159&gt;0,P159,I159)*IF(U153&gt;0,U153,N153)/IF(P153&gt;0,P153,I153),3)</f>
        <v>0.23599999999999999</v>
      </c>
      <c r="V159" s="43">
        <f t="shared" si="4"/>
        <v>0</v>
      </c>
      <c r="W159" s="43">
        <f>ROUND(IF($R159&lt;&gt;"na",-$R159,-$K159)*($F159-$G159),6)</f>
        <v>0</v>
      </c>
      <c r="X159" s="273">
        <f t="shared" si="8"/>
        <v>0</v>
      </c>
      <c r="Y159" s="273">
        <f t="shared" ref="Y159:Y160" si="10">IFERROR(ROUND(IF($S159&lt;&gt;"",-$S159,-$L159)*($E159+$F159-$G159),6),0)</f>
        <v>0</v>
      </c>
      <c r="Z159" s="273">
        <f t="shared" si="9"/>
        <v>0</v>
      </c>
      <c r="AA159" s="273">
        <f t="shared" ref="AA159:AA160" si="11">IFERROR(ROUND(IF($T159&lt;&gt;"",-$T159,-$M159)*($E159+$F159-$G159),6),0)</f>
        <v>0</v>
      </c>
      <c r="AB159" s="92">
        <f>ROUND($U159*($F159-$G159),6)</f>
        <v>0</v>
      </c>
      <c r="AC159" s="44"/>
      <c r="AD159" s="249"/>
    </row>
    <row r="160" spans="1:30" ht="17" x14ac:dyDescent="0.2">
      <c r="A160" s="35"/>
      <c r="B160" s="250" t="s">
        <v>198</v>
      </c>
      <c r="C160" s="210" t="s">
        <v>55</v>
      </c>
      <c r="D160" s="211" t="s">
        <v>115</v>
      </c>
      <c r="E160" s="384">
        <f>F66</f>
        <v>0</v>
      </c>
      <c r="F160" s="384">
        <f>G66</f>
        <v>0</v>
      </c>
      <c r="G160" s="384">
        <f>H66</f>
        <v>0</v>
      </c>
      <c r="H160" s="51"/>
      <c r="I160" s="50">
        <v>8.4</v>
      </c>
      <c r="J160" s="50">
        <f>ROUND(1.512*12.011/44.01,3)</f>
        <v>0.41299999999999998</v>
      </c>
      <c r="K160" s="48">
        <f>ROUND(IF(J160&gt;0,44.01*J160/12.011,IF(H160&gt;0, H160,8.4)*0.18),3)</f>
        <v>1.5129999999999999</v>
      </c>
      <c r="L160" s="87">
        <v>7.9999999999999996E-6</v>
      </c>
      <c r="M160" s="87">
        <v>9.9999999999999995E-7</v>
      </c>
      <c r="N160" s="57">
        <f>ROUND(IF(I160&gt;0,I160,8.4)*IF(N153&gt;0,N153,0.504)/IF(I153&gt;0,I153,9.8),3)</f>
        <v>0.432</v>
      </c>
      <c r="O160" s="130"/>
      <c r="P160" s="130"/>
      <c r="Q160" s="130"/>
      <c r="R160" s="56" t="str">
        <f>IF(Q160&gt;0,ROUND(44.01*Q160/12.011,6),IF(SUM(O160,P160)&gt;0, ROUND(SUM(O160,P160)*0.18,6),"na"))</f>
        <v>na</v>
      </c>
      <c r="S160" s="273"/>
      <c r="T160" s="273"/>
      <c r="U160" s="56">
        <f>ROUND(IF(P160&gt;0,P160,I160)*IF(U153&gt;0,U153,N153)/IF(P153&gt;0,P153,I153),3)</f>
        <v>0.6</v>
      </c>
      <c r="V160" s="43">
        <f t="shared" si="4"/>
        <v>0</v>
      </c>
      <c r="W160" s="43">
        <f>ROUND(IF($R160&lt;&gt;"na",-$R160,-$K160)*($F160-$G160),6)</f>
        <v>0</v>
      </c>
      <c r="X160" s="273">
        <f t="shared" si="8"/>
        <v>0</v>
      </c>
      <c r="Y160" s="273">
        <f t="shared" si="10"/>
        <v>0</v>
      </c>
      <c r="Z160" s="273">
        <f t="shared" si="9"/>
        <v>0</v>
      </c>
      <c r="AA160" s="273">
        <f t="shared" si="11"/>
        <v>0</v>
      </c>
      <c r="AB160" s="92">
        <f>ROUND($U160*($F160-$G160),6)</f>
        <v>0</v>
      </c>
      <c r="AC160" s="44"/>
      <c r="AD160" s="249"/>
    </row>
    <row r="161" spans="1:33" ht="15" x14ac:dyDescent="0.2">
      <c r="A161" s="35"/>
      <c r="B161" s="250" t="s">
        <v>198</v>
      </c>
      <c r="C161" s="210" t="s">
        <v>71</v>
      </c>
      <c r="D161" s="211" t="s">
        <v>58</v>
      </c>
      <c r="E161" s="199"/>
      <c r="F161" s="154"/>
      <c r="G161" s="155"/>
      <c r="H161" s="51"/>
      <c r="I161" s="50">
        <v>1</v>
      </c>
      <c r="J161" s="50"/>
      <c r="K161" s="48"/>
      <c r="L161" s="87" t="s">
        <v>95</v>
      </c>
      <c r="M161" s="87" t="s">
        <v>95</v>
      </c>
      <c r="N161" s="57">
        <f>ROUND(I161*IF(N153&gt;0,N153,0.504)/IF(I153&gt;0,I153,9.8),3)</f>
        <v>5.0999999999999997E-2</v>
      </c>
      <c r="O161" s="130"/>
      <c r="P161" s="130"/>
      <c r="Q161" s="130"/>
      <c r="R161" s="48"/>
      <c r="S161" s="273"/>
      <c r="T161" s="273"/>
      <c r="U161" s="56">
        <f>ROUND(IF(P161&gt;0,P161,I161)*IF(U153&gt;0,U153,N153)/IF(P153&gt;0,P153,I153),3)</f>
        <v>7.0999999999999994E-2</v>
      </c>
      <c r="V161" s="43">
        <f t="shared" si="4"/>
        <v>0</v>
      </c>
      <c r="W161" s="43"/>
      <c r="X161" s="273">
        <f t="shared" si="8"/>
        <v>0</v>
      </c>
      <c r="Y161" s="273"/>
      <c r="Z161" s="273">
        <f t="shared" si="9"/>
        <v>0</v>
      </c>
      <c r="AA161" s="273"/>
      <c r="AB161" s="92">
        <f>ROUND($U161*($F161-$G161),6)</f>
        <v>0</v>
      </c>
      <c r="AC161" s="44"/>
      <c r="AD161" s="249"/>
    </row>
    <row r="162" spans="1:33" ht="17" x14ac:dyDescent="0.2">
      <c r="A162" s="35"/>
      <c r="B162" s="250" t="s">
        <v>131</v>
      </c>
      <c r="C162" s="210" t="s">
        <v>82</v>
      </c>
      <c r="D162" s="211" t="s">
        <v>112</v>
      </c>
      <c r="E162" s="199"/>
      <c r="F162" s="154"/>
      <c r="G162" s="155"/>
      <c r="H162" s="51"/>
      <c r="I162" s="50">
        <v>23.574999999999999</v>
      </c>
      <c r="J162" s="50">
        <f>ROUND(0.52*0.789,3)</f>
        <v>0.41</v>
      </c>
      <c r="K162" s="48"/>
      <c r="L162" s="87" t="s">
        <v>95</v>
      </c>
      <c r="M162" s="87" t="s">
        <v>95</v>
      </c>
      <c r="N162" s="57">
        <v>1.494</v>
      </c>
      <c r="O162" s="130"/>
      <c r="P162" s="130"/>
      <c r="Q162" s="130"/>
      <c r="R162" s="48"/>
      <c r="S162" s="273"/>
      <c r="T162" s="273"/>
      <c r="U162" s="47"/>
      <c r="V162" s="43">
        <f t="shared" si="4"/>
        <v>0</v>
      </c>
      <c r="W162" s="43"/>
      <c r="X162" s="273">
        <f t="shared" si="8"/>
        <v>0</v>
      </c>
      <c r="Y162" s="273"/>
      <c r="Z162" s="273">
        <f t="shared" si="9"/>
        <v>0</v>
      </c>
      <c r="AA162" s="273"/>
      <c r="AB162" s="92"/>
      <c r="AC162" s="44">
        <f t="shared" ref="AC162:AC171" si="12">ROUND(IF($U162&lt;&gt;"",$U162,$N162)*($F162-$G162),6)</f>
        <v>0</v>
      </c>
      <c r="AD162" s="249"/>
    </row>
    <row r="163" spans="1:33" ht="17" x14ac:dyDescent="0.2">
      <c r="A163" s="35"/>
      <c r="B163" s="250" t="s">
        <v>131</v>
      </c>
      <c r="C163" s="210" t="s">
        <v>83</v>
      </c>
      <c r="D163" s="211" t="s">
        <v>112</v>
      </c>
      <c r="E163" s="199"/>
      <c r="F163" s="154"/>
      <c r="G163" s="155"/>
      <c r="H163" s="51"/>
      <c r="I163" s="50">
        <v>15.662000000000001</v>
      </c>
      <c r="J163" s="50">
        <f>ROUND(0.37*0.791,3)</f>
        <v>0.29299999999999998</v>
      </c>
      <c r="K163" s="48"/>
      <c r="L163" s="87" t="s">
        <v>95</v>
      </c>
      <c r="M163" s="87" t="s">
        <v>95</v>
      </c>
      <c r="N163" s="57">
        <f>ROUND(0.0688*19.9,3)</f>
        <v>1.369</v>
      </c>
      <c r="O163" s="130"/>
      <c r="P163" s="130"/>
      <c r="Q163" s="130"/>
      <c r="R163" s="48"/>
      <c r="S163" s="273"/>
      <c r="T163" s="273"/>
      <c r="U163" s="47"/>
      <c r="V163" s="43">
        <f t="shared" si="4"/>
        <v>0</v>
      </c>
      <c r="W163" s="43"/>
      <c r="X163" s="273">
        <f t="shared" si="8"/>
        <v>0</v>
      </c>
      <c r="Y163" s="273"/>
      <c r="Z163" s="273">
        <f t="shared" si="9"/>
        <v>0</v>
      </c>
      <c r="AA163" s="273"/>
      <c r="AB163" s="43"/>
      <c r="AC163" s="44">
        <f t="shared" si="12"/>
        <v>0</v>
      </c>
      <c r="AD163" s="249"/>
    </row>
    <row r="164" spans="1:33" ht="15" x14ac:dyDescent="0.2">
      <c r="A164" s="35"/>
      <c r="B164" s="250" t="s">
        <v>131</v>
      </c>
      <c r="C164" s="210" t="s">
        <v>81</v>
      </c>
      <c r="D164" s="211" t="s">
        <v>27</v>
      </c>
      <c r="E164" s="199"/>
      <c r="F164" s="154"/>
      <c r="G164" s="155"/>
      <c r="H164" s="51"/>
      <c r="I164" s="50">
        <v>37.5</v>
      </c>
      <c r="J164" s="50"/>
      <c r="K164" s="48"/>
      <c r="L164" s="87" t="s">
        <v>95</v>
      </c>
      <c r="M164" s="87" t="s">
        <v>95</v>
      </c>
      <c r="N164" s="57">
        <v>1.6</v>
      </c>
      <c r="O164" s="130"/>
      <c r="P164" s="130"/>
      <c r="Q164" s="130"/>
      <c r="R164" s="48"/>
      <c r="S164" s="273"/>
      <c r="T164" s="273"/>
      <c r="U164" s="47"/>
      <c r="V164" s="43">
        <f t="shared" si="4"/>
        <v>0</v>
      </c>
      <c r="W164" s="43"/>
      <c r="X164" s="273">
        <f t="shared" si="8"/>
        <v>0</v>
      </c>
      <c r="Y164" s="273"/>
      <c r="Z164" s="273">
        <f t="shared" si="9"/>
        <v>0</v>
      </c>
      <c r="AA164" s="273"/>
      <c r="AB164" s="43"/>
      <c r="AC164" s="44">
        <f t="shared" si="12"/>
        <v>0</v>
      </c>
      <c r="AD164" s="249"/>
    </row>
    <row r="165" spans="1:33" ht="15" x14ac:dyDescent="0.2">
      <c r="A165" s="35"/>
      <c r="B165" s="250" t="s">
        <v>107</v>
      </c>
      <c r="C165" s="210" t="s">
        <v>78</v>
      </c>
      <c r="D165" s="211" t="s">
        <v>14</v>
      </c>
      <c r="E165" s="199"/>
      <c r="F165" s="154"/>
      <c r="G165" s="155"/>
      <c r="H165" s="49"/>
      <c r="I165" s="48"/>
      <c r="J165" s="48"/>
      <c r="K165" s="48"/>
      <c r="L165" s="87" t="s">
        <v>95</v>
      </c>
      <c r="M165" s="87" t="s">
        <v>95</v>
      </c>
      <c r="N165" s="57">
        <v>0.55000000000000004</v>
      </c>
      <c r="O165" s="130"/>
      <c r="P165" s="130"/>
      <c r="Q165" s="130"/>
      <c r="R165" s="48"/>
      <c r="S165" s="273"/>
      <c r="T165" s="273"/>
      <c r="U165" s="47"/>
      <c r="V165" s="43">
        <f t="shared" si="4"/>
        <v>0</v>
      </c>
      <c r="W165" s="43"/>
      <c r="X165" s="273">
        <f t="shared" si="8"/>
        <v>0</v>
      </c>
      <c r="Y165" s="273"/>
      <c r="Z165" s="273">
        <f t="shared" si="9"/>
        <v>0</v>
      </c>
      <c r="AA165" s="273"/>
      <c r="AB165" s="92"/>
      <c r="AC165" s="44">
        <f t="shared" si="12"/>
        <v>0</v>
      </c>
      <c r="AD165" s="249"/>
    </row>
    <row r="166" spans="1:33" ht="15" x14ac:dyDescent="0.2">
      <c r="A166" s="35"/>
      <c r="B166" s="250" t="s">
        <v>107</v>
      </c>
      <c r="C166" s="210" t="s">
        <v>79</v>
      </c>
      <c r="D166" s="211" t="s">
        <v>14</v>
      </c>
      <c r="E166" s="199"/>
      <c r="F166" s="154"/>
      <c r="G166" s="155"/>
      <c r="H166" s="49"/>
      <c r="I166" s="48"/>
      <c r="J166" s="48"/>
      <c r="K166" s="48"/>
      <c r="L166" s="87" t="s">
        <v>95</v>
      </c>
      <c r="M166" s="87" t="s">
        <v>95</v>
      </c>
      <c r="N166" s="57">
        <v>0.3</v>
      </c>
      <c r="O166" s="130"/>
      <c r="P166" s="130"/>
      <c r="Q166" s="130"/>
      <c r="R166" s="48"/>
      <c r="S166" s="273"/>
      <c r="T166" s="273"/>
      <c r="U166" s="47"/>
      <c r="V166" s="43">
        <f t="shared" si="4"/>
        <v>0</v>
      </c>
      <c r="W166" s="43"/>
      <c r="X166" s="273">
        <f t="shared" si="8"/>
        <v>0</v>
      </c>
      <c r="Y166" s="273"/>
      <c r="Z166" s="273">
        <f t="shared" si="9"/>
        <v>0</v>
      </c>
      <c r="AA166" s="273"/>
      <c r="AB166" s="43"/>
      <c r="AC166" s="44">
        <f t="shared" si="12"/>
        <v>0</v>
      </c>
      <c r="AD166" s="249"/>
    </row>
    <row r="167" spans="1:33" ht="15" x14ac:dyDescent="0.2">
      <c r="A167" s="35"/>
      <c r="B167" s="250" t="s">
        <v>107</v>
      </c>
      <c r="C167" s="210" t="s">
        <v>70</v>
      </c>
      <c r="D167" s="211" t="s">
        <v>14</v>
      </c>
      <c r="E167" s="199"/>
      <c r="F167" s="154"/>
      <c r="G167" s="155"/>
      <c r="H167" s="49"/>
      <c r="I167" s="48"/>
      <c r="J167" s="48"/>
      <c r="K167" s="48"/>
      <c r="L167" s="87" t="s">
        <v>95</v>
      </c>
      <c r="M167" s="87" t="s">
        <v>95</v>
      </c>
      <c r="N167" s="57">
        <v>0.3</v>
      </c>
      <c r="O167" s="130"/>
      <c r="P167" s="130"/>
      <c r="Q167" s="130"/>
      <c r="R167" s="48"/>
      <c r="S167" s="273"/>
      <c r="T167" s="273"/>
      <c r="U167" s="47"/>
      <c r="V167" s="43">
        <f t="shared" si="4"/>
        <v>0</v>
      </c>
      <c r="W167" s="43"/>
      <c r="X167" s="273">
        <f t="shared" si="8"/>
        <v>0</v>
      </c>
      <c r="Y167" s="273"/>
      <c r="Z167" s="273">
        <f t="shared" si="9"/>
        <v>0</v>
      </c>
      <c r="AA167" s="273"/>
      <c r="AB167" s="43"/>
      <c r="AC167" s="44">
        <f t="shared" si="12"/>
        <v>0</v>
      </c>
      <c r="AD167" s="249"/>
    </row>
    <row r="168" spans="1:33" ht="15" x14ac:dyDescent="0.2">
      <c r="A168" s="35"/>
      <c r="B168" s="250" t="s">
        <v>132</v>
      </c>
      <c r="C168" s="209" t="s">
        <v>97</v>
      </c>
      <c r="D168" s="211" t="s">
        <v>27</v>
      </c>
      <c r="E168" s="199"/>
      <c r="F168" s="154"/>
      <c r="G168" s="155"/>
      <c r="H168" s="49"/>
      <c r="I168" s="48"/>
      <c r="J168" s="48"/>
      <c r="K168" s="48">
        <v>1</v>
      </c>
      <c r="L168" s="87" t="s">
        <v>95</v>
      </c>
      <c r="M168" s="87" t="s">
        <v>95</v>
      </c>
      <c r="N168" s="57"/>
      <c r="O168" s="130"/>
      <c r="P168" s="130"/>
      <c r="Q168" s="130"/>
      <c r="R168" s="48"/>
      <c r="S168" s="273"/>
      <c r="T168" s="273"/>
      <c r="U168" s="47"/>
      <c r="V168" s="43">
        <f>ROUND($K168*($F168-$G168),6)</f>
        <v>0</v>
      </c>
      <c r="W168" s="43"/>
      <c r="X168" s="273">
        <f t="shared" si="8"/>
        <v>0</v>
      </c>
      <c r="Y168" s="273"/>
      <c r="Z168" s="273">
        <f t="shared" si="9"/>
        <v>0</v>
      </c>
      <c r="AA168" s="273"/>
      <c r="AB168" s="43"/>
      <c r="AC168" s="44">
        <f t="shared" si="12"/>
        <v>0</v>
      </c>
      <c r="AD168" s="249"/>
    </row>
    <row r="169" spans="1:33" ht="15" x14ac:dyDescent="0.2">
      <c r="A169" s="35"/>
      <c r="B169" s="250" t="s">
        <v>130</v>
      </c>
      <c r="C169" s="209" t="s">
        <v>98</v>
      </c>
      <c r="D169" s="211" t="s">
        <v>27</v>
      </c>
      <c r="E169" s="199"/>
      <c r="F169" s="154"/>
      <c r="G169" s="155"/>
      <c r="H169" s="49"/>
      <c r="I169" s="48"/>
      <c r="J169" s="48"/>
      <c r="K169" s="48">
        <v>1</v>
      </c>
      <c r="L169" s="87" t="s">
        <v>95</v>
      </c>
      <c r="M169" s="87" t="s">
        <v>95</v>
      </c>
      <c r="N169" s="57"/>
      <c r="O169" s="130"/>
      <c r="P169" s="130"/>
      <c r="Q169" s="130"/>
      <c r="R169" s="48"/>
      <c r="S169" s="273"/>
      <c r="T169" s="273"/>
      <c r="U169" s="47"/>
      <c r="V169" s="43">
        <f>ROUND($K169*($F169-$G169),6)</f>
        <v>0</v>
      </c>
      <c r="W169" s="43"/>
      <c r="X169" s="273">
        <f t="shared" si="8"/>
        <v>0</v>
      </c>
      <c r="Y169" s="273"/>
      <c r="Z169" s="273">
        <f t="shared" si="9"/>
        <v>0</v>
      </c>
      <c r="AA169" s="273"/>
      <c r="AB169" s="92"/>
      <c r="AC169" s="44">
        <f t="shared" si="12"/>
        <v>0</v>
      </c>
      <c r="AD169" s="249"/>
    </row>
    <row r="170" spans="1:33" ht="15" x14ac:dyDescent="0.2">
      <c r="A170" s="33"/>
      <c r="B170" s="250" t="s">
        <v>201</v>
      </c>
      <c r="C170" s="210" t="s">
        <v>56</v>
      </c>
      <c r="D170" s="211" t="s">
        <v>27</v>
      </c>
      <c r="E170" s="199"/>
      <c r="F170" s="154"/>
      <c r="G170" s="155"/>
      <c r="H170" s="49">
        <v>37</v>
      </c>
      <c r="I170" s="48"/>
      <c r="J170" s="48"/>
      <c r="K170" s="48">
        <f>ROUND(44.01*0.925/12.011,3)</f>
        <v>3.3889999999999998</v>
      </c>
      <c r="L170" s="87">
        <v>3.6999999999999999E-4</v>
      </c>
      <c r="M170" s="87">
        <v>5.5999999999999999E-5</v>
      </c>
      <c r="N170" s="57"/>
      <c r="O170" s="130"/>
      <c r="P170" s="130"/>
      <c r="Q170" s="130"/>
      <c r="R170" s="59"/>
      <c r="S170" s="273"/>
      <c r="T170" s="273"/>
      <c r="U170" s="47"/>
      <c r="V170" s="43">
        <f>ROUND(IF($R170&lt;&gt;"",$R170,$K170)*($F170-$G170),6)</f>
        <v>0</v>
      </c>
      <c r="W170" s="43"/>
      <c r="X170" s="273">
        <f t="shared" si="8"/>
        <v>0</v>
      </c>
      <c r="Y170" s="273"/>
      <c r="Z170" s="273">
        <f t="shared" si="9"/>
        <v>0</v>
      </c>
      <c r="AA170" s="273"/>
      <c r="AB170" s="43"/>
      <c r="AC170" s="44">
        <f t="shared" si="12"/>
        <v>0</v>
      </c>
      <c r="AD170" s="249"/>
    </row>
    <row r="171" spans="1:33" ht="15" x14ac:dyDescent="0.2">
      <c r="A171" s="33"/>
      <c r="B171" s="251" t="s">
        <v>201</v>
      </c>
      <c r="C171" s="252" t="s">
        <v>57</v>
      </c>
      <c r="D171" s="253" t="s">
        <v>27</v>
      </c>
      <c r="E171" s="386"/>
      <c r="F171" s="254"/>
      <c r="G171" s="255"/>
      <c r="H171" s="256">
        <v>40.57</v>
      </c>
      <c r="I171" s="257"/>
      <c r="J171" s="257"/>
      <c r="K171" s="257">
        <f>ROUND(44.01*0.923/12.011,3)</f>
        <v>3.3820000000000001</v>
      </c>
      <c r="L171" s="258" t="s">
        <v>95</v>
      </c>
      <c r="M171" s="258" t="s">
        <v>95</v>
      </c>
      <c r="N171" s="259"/>
      <c r="O171" s="387"/>
      <c r="P171" s="387"/>
      <c r="Q171" s="387"/>
      <c r="R171" s="260"/>
      <c r="S171" s="274"/>
      <c r="T171" s="274"/>
      <c r="U171" s="261"/>
      <c r="V171" s="262">
        <f>ROUND(IF($R171&lt;&gt;"",$R171,$K171)*($F171-$G171),6)</f>
        <v>0</v>
      </c>
      <c r="W171" s="262"/>
      <c r="X171" s="274">
        <f t="shared" si="8"/>
        <v>0</v>
      </c>
      <c r="Y171" s="274"/>
      <c r="Z171" s="274">
        <f t="shared" si="9"/>
        <v>0</v>
      </c>
      <c r="AA171" s="274"/>
      <c r="AB171" s="262"/>
      <c r="AC171" s="263">
        <f t="shared" si="12"/>
        <v>0</v>
      </c>
      <c r="AD171" s="264"/>
    </row>
    <row r="172" spans="1:33" x14ac:dyDescent="0.2">
      <c r="A172" s="33"/>
      <c r="B172" s="34"/>
      <c r="C172" s="33"/>
      <c r="D172" s="40"/>
      <c r="E172" s="40"/>
      <c r="F172" s="40"/>
      <c r="G172" s="40"/>
      <c r="H172" s="40"/>
      <c r="I172" s="32"/>
      <c r="J172" s="32"/>
      <c r="K172" s="32"/>
      <c r="L172" s="32"/>
      <c r="M172" s="32"/>
      <c r="N172" s="32"/>
      <c r="O172" s="32"/>
      <c r="P172" s="32"/>
      <c r="Q172" s="39"/>
      <c r="R172" s="39"/>
      <c r="S172" s="39"/>
      <c r="T172" s="39"/>
      <c r="U172" s="39"/>
      <c r="V172" s="39"/>
      <c r="W172" s="39"/>
      <c r="X172" s="39"/>
      <c r="Y172" s="39"/>
      <c r="Z172" s="39"/>
      <c r="AA172" s="39"/>
      <c r="AB172" s="39"/>
      <c r="AC172" s="39"/>
      <c r="AD172" s="41"/>
      <c r="AE172" s="41"/>
      <c r="AF172" s="41"/>
      <c r="AG172" s="41"/>
    </row>
    <row r="174" spans="1:33" x14ac:dyDescent="0.2">
      <c r="B174" s="227">
        <v>6</v>
      </c>
      <c r="C174" s="181" t="s">
        <v>306</v>
      </c>
      <c r="X174" s="206" t="s">
        <v>292</v>
      </c>
      <c r="Y174" s="206" t="s">
        <v>292</v>
      </c>
      <c r="Z174" s="206" t="s">
        <v>293</v>
      </c>
      <c r="AA174" s="206" t="s">
        <v>293</v>
      </c>
    </row>
    <row r="175" spans="1:33" ht="15" customHeight="1" thickBot="1" x14ac:dyDescent="0.25">
      <c r="H175" s="404" t="s">
        <v>296</v>
      </c>
      <c r="I175" s="404"/>
      <c r="J175" s="227" t="s">
        <v>297</v>
      </c>
      <c r="K175" s="404" t="s">
        <v>295</v>
      </c>
      <c r="L175" s="404"/>
      <c r="T175" s="206"/>
      <c r="U175" s="206"/>
      <c r="V175" s="206" t="s">
        <v>290</v>
      </c>
      <c r="W175" s="206" t="s">
        <v>291</v>
      </c>
      <c r="X175" s="225" t="s">
        <v>290</v>
      </c>
      <c r="Y175" s="225" t="s">
        <v>291</v>
      </c>
      <c r="Z175" s="225" t="s">
        <v>290</v>
      </c>
      <c r="AA175" s="225" t="s">
        <v>291</v>
      </c>
      <c r="AB175" s="206" t="s">
        <v>203</v>
      </c>
      <c r="AC175" s="206" t="s">
        <v>205</v>
      </c>
    </row>
    <row r="176" spans="1:33" x14ac:dyDescent="0.2">
      <c r="B176" s="413" t="s">
        <v>304</v>
      </c>
      <c r="C176" s="309" t="s">
        <v>270</v>
      </c>
      <c r="D176" s="310">
        <f>F62</f>
        <v>0</v>
      </c>
      <c r="E176" s="378" t="s">
        <v>202</v>
      </c>
      <c r="F176" s="377" t="s">
        <v>203</v>
      </c>
      <c r="G176" s="377" t="s">
        <v>205</v>
      </c>
      <c r="H176" s="312" t="s">
        <v>288</v>
      </c>
      <c r="I176" s="313" t="s">
        <v>294</v>
      </c>
      <c r="J176" s="314" t="s">
        <v>202</v>
      </c>
      <c r="K176" s="315" t="s">
        <v>288</v>
      </c>
      <c r="L176" s="316" t="s">
        <v>294</v>
      </c>
      <c r="T176" s="410" t="s">
        <v>192</v>
      </c>
      <c r="U176" s="290" t="s">
        <v>136</v>
      </c>
      <c r="V176" s="291">
        <f t="shared" ref="V176:AC176" si="13">SUM(V87:V171)</f>
        <v>0</v>
      </c>
      <c r="W176" s="292">
        <f t="shared" si="13"/>
        <v>0</v>
      </c>
      <c r="X176" s="293">
        <f t="shared" si="13"/>
        <v>0</v>
      </c>
      <c r="Y176" s="294">
        <f t="shared" si="13"/>
        <v>0</v>
      </c>
      <c r="Z176" s="294">
        <f t="shared" si="13"/>
        <v>0</v>
      </c>
      <c r="AA176" s="295">
        <f t="shared" si="13"/>
        <v>0</v>
      </c>
      <c r="AB176" s="296">
        <f t="shared" si="13"/>
        <v>0</v>
      </c>
      <c r="AC176" s="297">
        <f t="shared" si="13"/>
        <v>0</v>
      </c>
    </row>
    <row r="177" spans="2:30" x14ac:dyDescent="0.2">
      <c r="B177" s="414"/>
      <c r="C177" s="317"/>
      <c r="D177" s="218"/>
      <c r="E177" s="135" t="s">
        <v>208</v>
      </c>
      <c r="F177" s="136"/>
      <c r="G177" s="136"/>
      <c r="H177" s="136"/>
      <c r="I177" s="137"/>
      <c r="J177" s="226" t="s">
        <v>206</v>
      </c>
      <c r="K177" s="279" t="s">
        <v>207</v>
      </c>
      <c r="L177" s="318"/>
      <c r="T177" s="411"/>
      <c r="U177" s="209"/>
      <c r="V177" s="217"/>
      <c r="W177" s="223" t="s">
        <v>137</v>
      </c>
      <c r="X177" s="298" t="s">
        <v>138</v>
      </c>
      <c r="Y177" s="298" t="s">
        <v>138</v>
      </c>
      <c r="Z177" s="298" t="s">
        <v>139</v>
      </c>
      <c r="AA177" s="223" t="s">
        <v>139</v>
      </c>
      <c r="AB177" s="224"/>
      <c r="AC177" s="299"/>
      <c r="AD177" s="25" t="s">
        <v>289</v>
      </c>
    </row>
    <row r="178" spans="2:30" x14ac:dyDescent="0.2">
      <c r="B178" s="414"/>
      <c r="C178" s="319" t="s">
        <v>192</v>
      </c>
      <c r="D178" s="209" t="s">
        <v>204</v>
      </c>
      <c r="E178" s="138" t="e">
        <f>SUM(V178,W178)/$D$176</f>
        <v>#DIV/0!</v>
      </c>
      <c r="F178" s="139" t="e">
        <f>AB178/$D$176</f>
        <v>#DIV/0!</v>
      </c>
      <c r="G178" s="139" t="e">
        <f>AC178/$D$176</f>
        <v>#DIV/0!</v>
      </c>
      <c r="H178" s="140" t="e">
        <f>SUM(F178,E178)</f>
        <v>#DIV/0!</v>
      </c>
      <c r="I178" s="141" t="e">
        <f>SUM(E178:G178)</f>
        <v>#DIV/0!</v>
      </c>
      <c r="J178" s="142" t="e">
        <f>SUM(X178,Y178,Z178,AA178)/$D$176</f>
        <v>#DIV/0!</v>
      </c>
      <c r="K178" s="143" t="e">
        <f>SUM(H178,J178)</f>
        <v>#DIV/0!</v>
      </c>
      <c r="L178" s="320" t="e">
        <f>SUM(I178,J178)</f>
        <v>#DIV/0!</v>
      </c>
      <c r="T178" s="411"/>
      <c r="U178" s="209" t="s">
        <v>134</v>
      </c>
      <c r="V178" s="93">
        <f>V176</f>
        <v>0</v>
      </c>
      <c r="W178" s="131">
        <f>W176</f>
        <v>0</v>
      </c>
      <c r="X178" s="221">
        <f>X176*28</f>
        <v>0</v>
      </c>
      <c r="Y178" s="222">
        <f>Y176*28</f>
        <v>0</v>
      </c>
      <c r="Z178" s="222">
        <f>Z176*265</f>
        <v>0</v>
      </c>
      <c r="AA178" s="228">
        <f>AA176*265</f>
        <v>0</v>
      </c>
      <c r="AB178" s="133">
        <f t="shared" ref="AB178:AC178" si="14">AB176</f>
        <v>0</v>
      </c>
      <c r="AC178" s="300">
        <f t="shared" si="14"/>
        <v>0</v>
      </c>
    </row>
    <row r="179" spans="2:30" x14ac:dyDescent="0.2">
      <c r="B179" s="414"/>
      <c r="C179" s="317"/>
      <c r="D179" s="217"/>
      <c r="E179" s="144"/>
      <c r="F179" s="321"/>
      <c r="G179" s="321"/>
      <c r="H179" s="321"/>
      <c r="I179" s="145"/>
      <c r="J179" s="146"/>
      <c r="K179" s="144"/>
      <c r="L179" s="322"/>
      <c r="T179" s="301"/>
      <c r="W179" s="132"/>
      <c r="AA179" s="132"/>
      <c r="AB179" s="134"/>
      <c r="AC179" s="284"/>
    </row>
    <row r="180" spans="2:30" x14ac:dyDescent="0.2">
      <c r="B180" s="414"/>
      <c r="C180" s="302" t="s">
        <v>210</v>
      </c>
      <c r="D180" s="209" t="s">
        <v>204</v>
      </c>
      <c r="E180" s="147" t="e">
        <f>SUM(V180,W180)/$D$176</f>
        <v>#DIV/0!</v>
      </c>
      <c r="F180" s="148" t="e">
        <f t="shared" ref="F180:F184" si="15">AB180/$D$176</f>
        <v>#DIV/0!</v>
      </c>
      <c r="G180" s="148" t="e">
        <f t="shared" ref="G180:G184" si="16">AC180/$D$176</f>
        <v>#DIV/0!</v>
      </c>
      <c r="H180" s="148" t="e">
        <f>SUM(F180,E180)</f>
        <v>#DIV/0!</v>
      </c>
      <c r="I180" s="149" t="e">
        <f t="shared" ref="I180:I195" si="17">SUM(E180:G180)</f>
        <v>#DIV/0!</v>
      </c>
      <c r="J180" s="275" t="e">
        <f t="shared" ref="J180:J184" si="18">SUM(X180,Y180,Z180,AA180)/$D$176</f>
        <v>#DIV/0!</v>
      </c>
      <c r="K180" s="276" t="e">
        <f t="shared" ref="K180:K195" si="19">SUM(H180,J180)</f>
        <v>#DIV/0!</v>
      </c>
      <c r="L180" s="323" t="e">
        <f t="shared" ref="L180:L195" si="20">SUM(I180,J180)</f>
        <v>#DIV/0!</v>
      </c>
      <c r="T180" s="302" t="s">
        <v>210</v>
      </c>
      <c r="U180" s="209" t="s">
        <v>134</v>
      </c>
      <c r="V180" s="93">
        <f t="shared" ref="V180:W184" si="21">SUMIFS(V$87:V$171,$B$87:$B$171,$T180)</f>
        <v>0</v>
      </c>
      <c r="W180" s="131">
        <f t="shared" si="21"/>
        <v>0</v>
      </c>
      <c r="X180" s="221">
        <f t="shared" ref="X180:Y184" si="22">SUMIFS(X$87:X$171,$B$87:$B$171,$T180)*28</f>
        <v>0</v>
      </c>
      <c r="Y180" s="222">
        <f t="shared" si="22"/>
        <v>0</v>
      </c>
      <c r="Z180" s="222">
        <f t="shared" ref="Z180:AA184" si="23">SUMIFS(Z$87:Z$171,$B$87:$B$171,$T180)*265</f>
        <v>0</v>
      </c>
      <c r="AA180" s="228">
        <f t="shared" si="23"/>
        <v>0</v>
      </c>
      <c r="AB180" s="133">
        <f t="shared" ref="AB180:AC184" si="24">SUMIFS(AB$87:AB$171,$B$87:$B$171,$T180)</f>
        <v>0</v>
      </c>
      <c r="AC180" s="300">
        <f t="shared" si="24"/>
        <v>0</v>
      </c>
    </row>
    <row r="181" spans="2:30" x14ac:dyDescent="0.2">
      <c r="B181" s="414"/>
      <c r="C181" s="302" t="s">
        <v>197</v>
      </c>
      <c r="D181" s="209" t="s">
        <v>204</v>
      </c>
      <c r="E181" s="147" t="e">
        <f t="shared" ref="E181:E182" si="25">SUM(V181,W181)/$D$176</f>
        <v>#DIV/0!</v>
      </c>
      <c r="F181" s="148" t="e">
        <f t="shared" si="15"/>
        <v>#DIV/0!</v>
      </c>
      <c r="G181" s="148" t="e">
        <f t="shared" si="16"/>
        <v>#DIV/0!</v>
      </c>
      <c r="H181" s="148" t="e">
        <f t="shared" ref="H181:H195" si="26">SUM(F181,E181)</f>
        <v>#DIV/0!</v>
      </c>
      <c r="I181" s="149" t="e">
        <f t="shared" si="17"/>
        <v>#DIV/0!</v>
      </c>
      <c r="J181" s="275" t="e">
        <f t="shared" si="18"/>
        <v>#DIV/0!</v>
      </c>
      <c r="K181" s="276" t="e">
        <f t="shared" si="19"/>
        <v>#DIV/0!</v>
      </c>
      <c r="L181" s="323" t="e">
        <f t="shared" si="20"/>
        <v>#DIV/0!</v>
      </c>
      <c r="T181" s="302" t="s">
        <v>197</v>
      </c>
      <c r="U181" s="209" t="s">
        <v>134</v>
      </c>
      <c r="V181" s="93">
        <f t="shared" si="21"/>
        <v>0</v>
      </c>
      <c r="W181" s="131">
        <f t="shared" si="21"/>
        <v>0</v>
      </c>
      <c r="X181" s="221">
        <f t="shared" si="22"/>
        <v>0</v>
      </c>
      <c r="Y181" s="222">
        <f t="shared" si="22"/>
        <v>0</v>
      </c>
      <c r="Z181" s="222">
        <f t="shared" si="23"/>
        <v>0</v>
      </c>
      <c r="AA181" s="228">
        <f t="shared" si="23"/>
        <v>0</v>
      </c>
      <c r="AB181" s="133">
        <f t="shared" si="24"/>
        <v>0</v>
      </c>
      <c r="AC181" s="300">
        <f t="shared" si="24"/>
        <v>0</v>
      </c>
    </row>
    <row r="182" spans="2:30" x14ac:dyDescent="0.2">
      <c r="B182" s="414"/>
      <c r="C182" s="302" t="s">
        <v>200</v>
      </c>
      <c r="D182" s="209" t="s">
        <v>204</v>
      </c>
      <c r="E182" s="147" t="e">
        <f t="shared" si="25"/>
        <v>#DIV/0!</v>
      </c>
      <c r="F182" s="148" t="e">
        <f t="shared" si="15"/>
        <v>#DIV/0!</v>
      </c>
      <c r="G182" s="148" t="e">
        <f t="shared" si="16"/>
        <v>#DIV/0!</v>
      </c>
      <c r="H182" s="148" t="e">
        <f t="shared" si="26"/>
        <v>#DIV/0!</v>
      </c>
      <c r="I182" s="149" t="e">
        <f t="shared" si="17"/>
        <v>#DIV/0!</v>
      </c>
      <c r="J182" s="275" t="e">
        <f t="shared" si="18"/>
        <v>#DIV/0!</v>
      </c>
      <c r="K182" s="276" t="e">
        <f t="shared" si="19"/>
        <v>#DIV/0!</v>
      </c>
      <c r="L182" s="323" t="e">
        <f t="shared" si="20"/>
        <v>#DIV/0!</v>
      </c>
      <c r="T182" s="302" t="s">
        <v>200</v>
      </c>
      <c r="U182" s="209" t="s">
        <v>134</v>
      </c>
      <c r="V182" s="93">
        <f t="shared" si="21"/>
        <v>0</v>
      </c>
      <c r="W182" s="131">
        <f t="shared" si="21"/>
        <v>0</v>
      </c>
      <c r="X182" s="221">
        <f t="shared" si="22"/>
        <v>0</v>
      </c>
      <c r="Y182" s="222">
        <f t="shared" si="22"/>
        <v>0</v>
      </c>
      <c r="Z182" s="222">
        <f t="shared" si="23"/>
        <v>0</v>
      </c>
      <c r="AA182" s="228">
        <f t="shared" si="23"/>
        <v>0</v>
      </c>
      <c r="AB182" s="133">
        <f t="shared" si="24"/>
        <v>0</v>
      </c>
      <c r="AC182" s="300">
        <f t="shared" si="24"/>
        <v>0</v>
      </c>
    </row>
    <row r="183" spans="2:30" x14ac:dyDescent="0.2">
      <c r="B183" s="414"/>
      <c r="C183" s="302" t="s">
        <v>195</v>
      </c>
      <c r="D183" s="209" t="s">
        <v>204</v>
      </c>
      <c r="E183" s="147" t="e">
        <f>SUM(V183,W183)/$D$176</f>
        <v>#DIV/0!</v>
      </c>
      <c r="F183" s="148" t="e">
        <f t="shared" si="15"/>
        <v>#DIV/0!</v>
      </c>
      <c r="G183" s="148" t="e">
        <f t="shared" si="16"/>
        <v>#DIV/0!</v>
      </c>
      <c r="H183" s="148" t="e">
        <f>SUM(F183,E183)</f>
        <v>#DIV/0!</v>
      </c>
      <c r="I183" s="149" t="e">
        <f t="shared" si="17"/>
        <v>#DIV/0!</v>
      </c>
      <c r="J183" s="275" t="e">
        <f t="shared" si="18"/>
        <v>#DIV/0!</v>
      </c>
      <c r="K183" s="276" t="e">
        <f t="shared" si="19"/>
        <v>#DIV/0!</v>
      </c>
      <c r="L183" s="323" t="e">
        <f t="shared" si="20"/>
        <v>#DIV/0!</v>
      </c>
      <c r="T183" s="302" t="s">
        <v>195</v>
      </c>
      <c r="U183" s="209" t="s">
        <v>134</v>
      </c>
      <c r="V183" s="93">
        <f t="shared" si="21"/>
        <v>0</v>
      </c>
      <c r="W183" s="131">
        <f t="shared" si="21"/>
        <v>0</v>
      </c>
      <c r="X183" s="221">
        <f t="shared" si="22"/>
        <v>0</v>
      </c>
      <c r="Y183" s="222">
        <f t="shared" si="22"/>
        <v>0</v>
      </c>
      <c r="Z183" s="222">
        <f t="shared" si="23"/>
        <v>0</v>
      </c>
      <c r="AA183" s="228">
        <f t="shared" si="23"/>
        <v>0</v>
      </c>
      <c r="AB183" s="133">
        <f t="shared" si="24"/>
        <v>0</v>
      </c>
      <c r="AC183" s="300">
        <f t="shared" si="24"/>
        <v>0</v>
      </c>
    </row>
    <row r="184" spans="2:30" x14ac:dyDescent="0.2">
      <c r="B184" s="414"/>
      <c r="C184" s="302" t="s">
        <v>194</v>
      </c>
      <c r="D184" s="209" t="s">
        <v>204</v>
      </c>
      <c r="E184" s="147" t="e">
        <f t="shared" ref="E184:E195" si="27">SUM(V184,W184)/$D$176</f>
        <v>#DIV/0!</v>
      </c>
      <c r="F184" s="148" t="e">
        <f t="shared" si="15"/>
        <v>#DIV/0!</v>
      </c>
      <c r="G184" s="148" t="e">
        <f t="shared" si="16"/>
        <v>#DIV/0!</v>
      </c>
      <c r="H184" s="148" t="e">
        <f>SUM(F184,E184)</f>
        <v>#DIV/0!</v>
      </c>
      <c r="I184" s="149" t="e">
        <f>SUM(E184:G184)</f>
        <v>#DIV/0!</v>
      </c>
      <c r="J184" s="275" t="e">
        <f t="shared" si="18"/>
        <v>#DIV/0!</v>
      </c>
      <c r="K184" s="276" t="e">
        <f t="shared" si="19"/>
        <v>#DIV/0!</v>
      </c>
      <c r="L184" s="323" t="e">
        <f t="shared" si="20"/>
        <v>#DIV/0!</v>
      </c>
      <c r="T184" s="302" t="s">
        <v>194</v>
      </c>
      <c r="U184" s="209" t="s">
        <v>134</v>
      </c>
      <c r="V184" s="93">
        <f t="shared" si="21"/>
        <v>0</v>
      </c>
      <c r="W184" s="131">
        <f t="shared" si="21"/>
        <v>0</v>
      </c>
      <c r="X184" s="221">
        <f t="shared" si="22"/>
        <v>0</v>
      </c>
      <c r="Y184" s="222">
        <f t="shared" si="22"/>
        <v>0</v>
      </c>
      <c r="Z184" s="222">
        <f t="shared" si="23"/>
        <v>0</v>
      </c>
      <c r="AA184" s="228">
        <f t="shared" si="23"/>
        <v>0</v>
      </c>
      <c r="AB184" s="133">
        <f t="shared" si="24"/>
        <v>0</v>
      </c>
      <c r="AC184" s="300">
        <f t="shared" si="24"/>
        <v>0</v>
      </c>
    </row>
    <row r="185" spans="2:30" x14ac:dyDescent="0.2">
      <c r="B185" s="414"/>
      <c r="C185" s="302" t="s">
        <v>308</v>
      </c>
      <c r="D185" s="209" t="s">
        <v>204</v>
      </c>
      <c r="E185" s="147" t="e">
        <f>SUM(V185,W185)/$D$176</f>
        <v>#DIV/0!</v>
      </c>
      <c r="F185" s="148" t="e">
        <f t="shared" ref="F185" si="28">AB185/$D$176</f>
        <v>#DIV/0!</v>
      </c>
      <c r="G185" s="148" t="e">
        <f t="shared" ref="G185" si="29">AC185/$D$176</f>
        <v>#DIV/0!</v>
      </c>
      <c r="H185" s="148" t="e">
        <f>SUM(F185,E184)</f>
        <v>#DIV/0!</v>
      </c>
      <c r="I185" s="149" t="e">
        <f t="shared" ref="I185" si="30">SUM(E185:G185)</f>
        <v>#DIV/0!</v>
      </c>
      <c r="J185" s="275" t="e">
        <f t="shared" ref="J185" si="31">SUM(X185,Y185,Z185,AA185)/$D$176</f>
        <v>#DIV/0!</v>
      </c>
      <c r="K185" s="276" t="e">
        <f t="shared" ref="K185" si="32">SUM(H185,J185)</f>
        <v>#DIV/0!</v>
      </c>
      <c r="L185" s="323" t="e">
        <f t="shared" ref="L185" si="33">SUM(I185,J185)</f>
        <v>#DIV/0!</v>
      </c>
      <c r="T185" s="302" t="s">
        <v>308</v>
      </c>
      <c r="U185" s="209" t="s">
        <v>134</v>
      </c>
      <c r="V185" s="93">
        <f>SUMIFS(V$126:V$129,$B$126:$B$129,$T185)</f>
        <v>0</v>
      </c>
      <c r="W185" s="131">
        <f>SUMIFS(W$126:W$129,$B$126:$B$129,$T185)</f>
        <v>0</v>
      </c>
      <c r="X185" s="221">
        <f>SUMIFS(X$126:X$129,$B$126:$B$129,$T185)*28</f>
        <v>0</v>
      </c>
      <c r="Y185" s="222">
        <f>SUMIFS(Y$126:Y$129,$B$126:$B$129,$T185)*28</f>
        <v>0</v>
      </c>
      <c r="Z185" s="222">
        <f>SUMIFS(Z$126:Z$129,$B$126:$B$129,$T185)*265</f>
        <v>0</v>
      </c>
      <c r="AA185" s="228">
        <f>SUMIFS(AA$126:AA$129,$B$126:$B$129,$T185)*265</f>
        <v>0</v>
      </c>
      <c r="AB185" s="133">
        <f>SUMIFS(AB$126:AB$129,$B$126:$B$129,$T185)</f>
        <v>0</v>
      </c>
      <c r="AC185" s="300">
        <f>SUMIFS(AC$126:AC$129,$B$126:$B$129,$T185)</f>
        <v>0</v>
      </c>
    </row>
    <row r="186" spans="2:30" x14ac:dyDescent="0.2">
      <c r="B186" s="414"/>
      <c r="C186" s="302" t="s">
        <v>196</v>
      </c>
      <c r="D186" s="209" t="s">
        <v>204</v>
      </c>
      <c r="E186" s="147" t="e">
        <f t="shared" si="27"/>
        <v>#DIV/0!</v>
      </c>
      <c r="F186" s="148" t="e">
        <f t="shared" ref="F186:F195" si="34">AB186/$D$176</f>
        <v>#DIV/0!</v>
      </c>
      <c r="G186" s="148" t="e">
        <f t="shared" ref="G186:G195" si="35">AC186/$D$176</f>
        <v>#DIV/0!</v>
      </c>
      <c r="H186" s="148" t="e">
        <f t="shared" si="26"/>
        <v>#DIV/0!</v>
      </c>
      <c r="I186" s="149" t="e">
        <f t="shared" si="17"/>
        <v>#DIV/0!</v>
      </c>
      <c r="J186" s="275" t="e">
        <f t="shared" ref="J186:J195" si="36">SUM(X186,Y186,Z186,AA186)/$D$176</f>
        <v>#DIV/0!</v>
      </c>
      <c r="K186" s="276" t="e">
        <f t="shared" si="19"/>
        <v>#DIV/0!</v>
      </c>
      <c r="L186" s="323" t="e">
        <f t="shared" si="20"/>
        <v>#DIV/0!</v>
      </c>
      <c r="T186" s="302" t="s">
        <v>196</v>
      </c>
      <c r="U186" s="209" t="s">
        <v>134</v>
      </c>
      <c r="V186" s="93">
        <f t="shared" ref="V186:W195" si="37">SUMIFS(V$87:V$171,$B$87:$B$171,$T186)</f>
        <v>0</v>
      </c>
      <c r="W186" s="131">
        <f t="shared" si="37"/>
        <v>0</v>
      </c>
      <c r="X186" s="221">
        <f t="shared" ref="X186:Y195" si="38">SUMIFS(X$87:X$171,$B$87:$B$171,$T186)*28</f>
        <v>0</v>
      </c>
      <c r="Y186" s="222">
        <f t="shared" si="38"/>
        <v>0</v>
      </c>
      <c r="Z186" s="222">
        <f t="shared" ref="Z186:AA195" si="39">SUMIFS(Z$87:Z$171,$B$87:$B$171,$T186)*265</f>
        <v>0</v>
      </c>
      <c r="AA186" s="228">
        <f t="shared" si="39"/>
        <v>0</v>
      </c>
      <c r="AB186" s="133">
        <f t="shared" ref="AB186:AC195" si="40">SUMIFS(AB$87:AB$171,$B$87:$B$171,$T186)</f>
        <v>0</v>
      </c>
      <c r="AC186" s="300">
        <f t="shared" si="40"/>
        <v>0</v>
      </c>
    </row>
    <row r="187" spans="2:30" x14ac:dyDescent="0.2">
      <c r="B187" s="414"/>
      <c r="C187" s="302" t="s">
        <v>48</v>
      </c>
      <c r="D187" s="209" t="s">
        <v>204</v>
      </c>
      <c r="E187" s="147" t="e">
        <f>SUM(V187,W187)/$D$176</f>
        <v>#DIV/0!</v>
      </c>
      <c r="F187" s="148" t="e">
        <f t="shared" si="34"/>
        <v>#DIV/0!</v>
      </c>
      <c r="G187" s="148" t="e">
        <f t="shared" si="35"/>
        <v>#DIV/0!</v>
      </c>
      <c r="H187" s="148" t="e">
        <f t="shared" si="26"/>
        <v>#DIV/0!</v>
      </c>
      <c r="I187" s="149" t="e">
        <f t="shared" si="17"/>
        <v>#DIV/0!</v>
      </c>
      <c r="J187" s="275" t="e">
        <f t="shared" si="36"/>
        <v>#DIV/0!</v>
      </c>
      <c r="K187" s="276" t="e">
        <f t="shared" si="19"/>
        <v>#DIV/0!</v>
      </c>
      <c r="L187" s="323" t="e">
        <f t="shared" si="20"/>
        <v>#DIV/0!</v>
      </c>
      <c r="T187" s="302" t="s">
        <v>48</v>
      </c>
      <c r="U187" s="209" t="s">
        <v>134</v>
      </c>
      <c r="V187" s="93">
        <f t="shared" si="37"/>
        <v>0</v>
      </c>
      <c r="W187" s="131">
        <f t="shared" si="37"/>
        <v>0</v>
      </c>
      <c r="X187" s="221">
        <f t="shared" si="38"/>
        <v>0</v>
      </c>
      <c r="Y187" s="222">
        <f t="shared" si="38"/>
        <v>0</v>
      </c>
      <c r="Z187" s="222">
        <f t="shared" si="39"/>
        <v>0</v>
      </c>
      <c r="AA187" s="228">
        <f t="shared" si="39"/>
        <v>0</v>
      </c>
      <c r="AB187" s="133">
        <f t="shared" si="40"/>
        <v>0</v>
      </c>
      <c r="AC187" s="300">
        <f t="shared" si="40"/>
        <v>0</v>
      </c>
    </row>
    <row r="188" spans="2:30" x14ac:dyDescent="0.2">
      <c r="B188" s="414"/>
      <c r="C188" s="302" t="s">
        <v>198</v>
      </c>
      <c r="D188" s="209" t="s">
        <v>204</v>
      </c>
      <c r="E188" s="147" t="e">
        <f t="shared" si="27"/>
        <v>#DIV/0!</v>
      </c>
      <c r="F188" s="148" t="e">
        <f t="shared" si="34"/>
        <v>#DIV/0!</v>
      </c>
      <c r="G188" s="148" t="e">
        <f t="shared" si="35"/>
        <v>#DIV/0!</v>
      </c>
      <c r="H188" s="148" t="e">
        <f t="shared" si="26"/>
        <v>#DIV/0!</v>
      </c>
      <c r="I188" s="149" t="e">
        <f t="shared" si="17"/>
        <v>#DIV/0!</v>
      </c>
      <c r="J188" s="275" t="e">
        <f t="shared" si="36"/>
        <v>#DIV/0!</v>
      </c>
      <c r="K188" s="276" t="e">
        <f t="shared" si="19"/>
        <v>#DIV/0!</v>
      </c>
      <c r="L188" s="323" t="e">
        <f t="shared" si="20"/>
        <v>#DIV/0!</v>
      </c>
      <c r="T188" s="302" t="s">
        <v>198</v>
      </c>
      <c r="U188" s="209" t="s">
        <v>134</v>
      </c>
      <c r="V188" s="93">
        <f t="shared" si="37"/>
        <v>0</v>
      </c>
      <c r="W188" s="131">
        <f t="shared" si="37"/>
        <v>0</v>
      </c>
      <c r="X188" s="221">
        <f t="shared" si="38"/>
        <v>0</v>
      </c>
      <c r="Y188" s="222">
        <f t="shared" si="38"/>
        <v>0</v>
      </c>
      <c r="Z188" s="222">
        <f t="shared" si="39"/>
        <v>0</v>
      </c>
      <c r="AA188" s="228">
        <f t="shared" si="39"/>
        <v>0</v>
      </c>
      <c r="AB188" s="133">
        <f t="shared" si="40"/>
        <v>0</v>
      </c>
      <c r="AC188" s="300">
        <f t="shared" si="40"/>
        <v>0</v>
      </c>
    </row>
    <row r="189" spans="2:30" x14ac:dyDescent="0.2">
      <c r="B189" s="414"/>
      <c r="C189" s="302" t="s">
        <v>199</v>
      </c>
      <c r="D189" s="209" t="s">
        <v>204</v>
      </c>
      <c r="E189" s="147" t="e">
        <f t="shared" si="27"/>
        <v>#DIV/0!</v>
      </c>
      <c r="F189" s="148" t="e">
        <f t="shared" si="34"/>
        <v>#DIV/0!</v>
      </c>
      <c r="G189" s="148" t="e">
        <f t="shared" si="35"/>
        <v>#DIV/0!</v>
      </c>
      <c r="H189" s="148" t="e">
        <f t="shared" si="26"/>
        <v>#DIV/0!</v>
      </c>
      <c r="I189" s="149" t="e">
        <f t="shared" si="17"/>
        <v>#DIV/0!</v>
      </c>
      <c r="J189" s="275" t="e">
        <f t="shared" si="36"/>
        <v>#DIV/0!</v>
      </c>
      <c r="K189" s="276" t="e">
        <f t="shared" si="19"/>
        <v>#DIV/0!</v>
      </c>
      <c r="L189" s="323" t="e">
        <f t="shared" si="20"/>
        <v>#DIV/0!</v>
      </c>
      <c r="T189" s="302" t="s">
        <v>199</v>
      </c>
      <c r="U189" s="209" t="s">
        <v>134</v>
      </c>
      <c r="V189" s="93">
        <f t="shared" si="37"/>
        <v>0</v>
      </c>
      <c r="W189" s="131">
        <f t="shared" si="37"/>
        <v>0</v>
      </c>
      <c r="X189" s="221">
        <f t="shared" si="38"/>
        <v>0</v>
      </c>
      <c r="Y189" s="222">
        <f t="shared" si="38"/>
        <v>0</v>
      </c>
      <c r="Z189" s="222">
        <f t="shared" si="39"/>
        <v>0</v>
      </c>
      <c r="AA189" s="228">
        <f t="shared" si="39"/>
        <v>0</v>
      </c>
      <c r="AB189" s="133">
        <f t="shared" si="40"/>
        <v>0</v>
      </c>
      <c r="AC189" s="300">
        <f t="shared" si="40"/>
        <v>0</v>
      </c>
    </row>
    <row r="190" spans="2:30" x14ac:dyDescent="0.2">
      <c r="B190" s="414"/>
      <c r="C190" s="302" t="s">
        <v>131</v>
      </c>
      <c r="D190" s="209" t="s">
        <v>204</v>
      </c>
      <c r="E190" s="147" t="e">
        <f t="shared" si="27"/>
        <v>#DIV/0!</v>
      </c>
      <c r="F190" s="148" t="e">
        <f t="shared" si="34"/>
        <v>#DIV/0!</v>
      </c>
      <c r="G190" s="148" t="e">
        <f t="shared" si="35"/>
        <v>#DIV/0!</v>
      </c>
      <c r="H190" s="148" t="e">
        <f t="shared" si="26"/>
        <v>#DIV/0!</v>
      </c>
      <c r="I190" s="149" t="e">
        <f t="shared" si="17"/>
        <v>#DIV/0!</v>
      </c>
      <c r="J190" s="275" t="e">
        <f t="shared" si="36"/>
        <v>#DIV/0!</v>
      </c>
      <c r="K190" s="276" t="e">
        <f t="shared" si="19"/>
        <v>#DIV/0!</v>
      </c>
      <c r="L190" s="323" t="e">
        <f t="shared" si="20"/>
        <v>#DIV/0!</v>
      </c>
      <c r="T190" s="302" t="s">
        <v>131</v>
      </c>
      <c r="U190" s="209" t="s">
        <v>134</v>
      </c>
      <c r="V190" s="93">
        <f t="shared" si="37"/>
        <v>0</v>
      </c>
      <c r="W190" s="131">
        <f t="shared" si="37"/>
        <v>0</v>
      </c>
      <c r="X190" s="221">
        <f t="shared" si="38"/>
        <v>0</v>
      </c>
      <c r="Y190" s="222">
        <f t="shared" si="38"/>
        <v>0</v>
      </c>
      <c r="Z190" s="222">
        <f t="shared" si="39"/>
        <v>0</v>
      </c>
      <c r="AA190" s="228">
        <f t="shared" si="39"/>
        <v>0</v>
      </c>
      <c r="AB190" s="133">
        <f t="shared" si="40"/>
        <v>0</v>
      </c>
      <c r="AC190" s="300">
        <f t="shared" si="40"/>
        <v>0</v>
      </c>
    </row>
    <row r="191" spans="2:30" x14ac:dyDescent="0.2">
      <c r="B191" s="414"/>
      <c r="C191" s="302" t="s">
        <v>193</v>
      </c>
      <c r="D191" s="209" t="s">
        <v>204</v>
      </c>
      <c r="E191" s="147" t="e">
        <f t="shared" si="27"/>
        <v>#DIV/0!</v>
      </c>
      <c r="F191" s="148" t="e">
        <f t="shared" si="34"/>
        <v>#DIV/0!</v>
      </c>
      <c r="G191" s="148" t="e">
        <f t="shared" si="35"/>
        <v>#DIV/0!</v>
      </c>
      <c r="H191" s="148" t="e">
        <f t="shared" si="26"/>
        <v>#DIV/0!</v>
      </c>
      <c r="I191" s="149" t="e">
        <f t="shared" si="17"/>
        <v>#DIV/0!</v>
      </c>
      <c r="J191" s="275" t="e">
        <f t="shared" si="36"/>
        <v>#DIV/0!</v>
      </c>
      <c r="K191" s="276" t="e">
        <f t="shared" si="19"/>
        <v>#DIV/0!</v>
      </c>
      <c r="L191" s="323" t="e">
        <f t="shared" si="20"/>
        <v>#DIV/0!</v>
      </c>
      <c r="T191" s="302" t="s">
        <v>193</v>
      </c>
      <c r="U191" s="209" t="s">
        <v>134</v>
      </c>
      <c r="V191" s="93">
        <f t="shared" si="37"/>
        <v>0</v>
      </c>
      <c r="W191" s="131">
        <f t="shared" si="37"/>
        <v>0</v>
      </c>
      <c r="X191" s="221">
        <f t="shared" si="38"/>
        <v>0</v>
      </c>
      <c r="Y191" s="222">
        <f t="shared" si="38"/>
        <v>0</v>
      </c>
      <c r="Z191" s="222">
        <f t="shared" si="39"/>
        <v>0</v>
      </c>
      <c r="AA191" s="228">
        <f t="shared" si="39"/>
        <v>0</v>
      </c>
      <c r="AB191" s="133">
        <f t="shared" si="40"/>
        <v>0</v>
      </c>
      <c r="AC191" s="300">
        <f t="shared" si="40"/>
        <v>0</v>
      </c>
    </row>
    <row r="192" spans="2:30" x14ac:dyDescent="0.2">
      <c r="B192" s="414"/>
      <c r="C192" s="302" t="s">
        <v>107</v>
      </c>
      <c r="D192" s="209" t="s">
        <v>204</v>
      </c>
      <c r="E192" s="147" t="e">
        <f t="shared" si="27"/>
        <v>#DIV/0!</v>
      </c>
      <c r="F192" s="148" t="e">
        <f t="shared" si="34"/>
        <v>#DIV/0!</v>
      </c>
      <c r="G192" s="148" t="e">
        <f t="shared" si="35"/>
        <v>#DIV/0!</v>
      </c>
      <c r="H192" s="148" t="e">
        <f t="shared" si="26"/>
        <v>#DIV/0!</v>
      </c>
      <c r="I192" s="149" t="e">
        <f t="shared" si="17"/>
        <v>#DIV/0!</v>
      </c>
      <c r="J192" s="275" t="e">
        <f t="shared" si="36"/>
        <v>#DIV/0!</v>
      </c>
      <c r="K192" s="276" t="e">
        <f t="shared" si="19"/>
        <v>#DIV/0!</v>
      </c>
      <c r="L192" s="323" t="e">
        <f t="shared" si="20"/>
        <v>#DIV/0!</v>
      </c>
      <c r="T192" s="302" t="s">
        <v>107</v>
      </c>
      <c r="U192" s="209" t="s">
        <v>134</v>
      </c>
      <c r="V192" s="93">
        <f t="shared" si="37"/>
        <v>0</v>
      </c>
      <c r="W192" s="131">
        <f t="shared" si="37"/>
        <v>0</v>
      </c>
      <c r="X192" s="221">
        <f t="shared" si="38"/>
        <v>0</v>
      </c>
      <c r="Y192" s="222">
        <f t="shared" si="38"/>
        <v>0</v>
      </c>
      <c r="Z192" s="222">
        <f t="shared" si="39"/>
        <v>0</v>
      </c>
      <c r="AA192" s="228">
        <f t="shared" si="39"/>
        <v>0</v>
      </c>
      <c r="AB192" s="133">
        <f t="shared" si="40"/>
        <v>0</v>
      </c>
      <c r="AC192" s="300">
        <f t="shared" si="40"/>
        <v>0</v>
      </c>
    </row>
    <row r="193" spans="2:29" x14ac:dyDescent="0.2">
      <c r="B193" s="414"/>
      <c r="C193" s="302" t="s">
        <v>132</v>
      </c>
      <c r="D193" s="209" t="s">
        <v>204</v>
      </c>
      <c r="E193" s="147" t="e">
        <f t="shared" si="27"/>
        <v>#DIV/0!</v>
      </c>
      <c r="F193" s="148" t="e">
        <f t="shared" si="34"/>
        <v>#DIV/0!</v>
      </c>
      <c r="G193" s="148" t="e">
        <f t="shared" si="35"/>
        <v>#DIV/0!</v>
      </c>
      <c r="H193" s="148" t="e">
        <f t="shared" si="26"/>
        <v>#DIV/0!</v>
      </c>
      <c r="I193" s="149" t="e">
        <f t="shared" si="17"/>
        <v>#DIV/0!</v>
      </c>
      <c r="J193" s="275" t="e">
        <f t="shared" si="36"/>
        <v>#DIV/0!</v>
      </c>
      <c r="K193" s="276" t="e">
        <f t="shared" si="19"/>
        <v>#DIV/0!</v>
      </c>
      <c r="L193" s="323" t="e">
        <f t="shared" si="20"/>
        <v>#DIV/0!</v>
      </c>
      <c r="T193" s="302" t="s">
        <v>132</v>
      </c>
      <c r="U193" s="209" t="s">
        <v>134</v>
      </c>
      <c r="V193" s="93">
        <f t="shared" si="37"/>
        <v>0</v>
      </c>
      <c r="W193" s="131">
        <f t="shared" si="37"/>
        <v>0</v>
      </c>
      <c r="X193" s="221">
        <f t="shared" si="38"/>
        <v>0</v>
      </c>
      <c r="Y193" s="222">
        <f t="shared" si="38"/>
        <v>0</v>
      </c>
      <c r="Z193" s="222">
        <f t="shared" si="39"/>
        <v>0</v>
      </c>
      <c r="AA193" s="228">
        <f t="shared" si="39"/>
        <v>0</v>
      </c>
      <c r="AB193" s="133">
        <f t="shared" si="40"/>
        <v>0</v>
      </c>
      <c r="AC193" s="300">
        <f t="shared" si="40"/>
        <v>0</v>
      </c>
    </row>
    <row r="194" spans="2:29" x14ac:dyDescent="0.2">
      <c r="B194" s="414"/>
      <c r="C194" s="302" t="s">
        <v>130</v>
      </c>
      <c r="D194" s="209" t="s">
        <v>204</v>
      </c>
      <c r="E194" s="147" t="e">
        <f t="shared" si="27"/>
        <v>#DIV/0!</v>
      </c>
      <c r="F194" s="148" t="e">
        <f t="shared" si="34"/>
        <v>#DIV/0!</v>
      </c>
      <c r="G194" s="148" t="e">
        <f t="shared" si="35"/>
        <v>#DIV/0!</v>
      </c>
      <c r="H194" s="148" t="e">
        <f t="shared" si="26"/>
        <v>#DIV/0!</v>
      </c>
      <c r="I194" s="149" t="e">
        <f t="shared" si="17"/>
        <v>#DIV/0!</v>
      </c>
      <c r="J194" s="275" t="e">
        <f t="shared" si="36"/>
        <v>#DIV/0!</v>
      </c>
      <c r="K194" s="276" t="e">
        <f t="shared" si="19"/>
        <v>#DIV/0!</v>
      </c>
      <c r="L194" s="323" t="e">
        <f t="shared" si="20"/>
        <v>#DIV/0!</v>
      </c>
      <c r="T194" s="302" t="s">
        <v>130</v>
      </c>
      <c r="U194" s="209" t="s">
        <v>134</v>
      </c>
      <c r="V194" s="93">
        <f t="shared" si="37"/>
        <v>0</v>
      </c>
      <c r="W194" s="131">
        <f t="shared" si="37"/>
        <v>0</v>
      </c>
      <c r="X194" s="221">
        <f t="shared" si="38"/>
        <v>0</v>
      </c>
      <c r="Y194" s="222">
        <f t="shared" si="38"/>
        <v>0</v>
      </c>
      <c r="Z194" s="222">
        <f t="shared" si="39"/>
        <v>0</v>
      </c>
      <c r="AA194" s="228">
        <f t="shared" si="39"/>
        <v>0</v>
      </c>
      <c r="AB194" s="133">
        <f t="shared" si="40"/>
        <v>0</v>
      </c>
      <c r="AC194" s="300">
        <f t="shared" si="40"/>
        <v>0</v>
      </c>
    </row>
    <row r="195" spans="2:29" x14ac:dyDescent="0.2">
      <c r="B195" s="414"/>
      <c r="C195" s="302" t="s">
        <v>201</v>
      </c>
      <c r="D195" s="209" t="s">
        <v>204</v>
      </c>
      <c r="E195" s="150" t="e">
        <f t="shared" si="27"/>
        <v>#DIV/0!</v>
      </c>
      <c r="F195" s="151" t="e">
        <f t="shared" si="34"/>
        <v>#DIV/0!</v>
      </c>
      <c r="G195" s="151" t="e">
        <f t="shared" si="35"/>
        <v>#DIV/0!</v>
      </c>
      <c r="H195" s="151" t="e">
        <f t="shared" si="26"/>
        <v>#DIV/0!</v>
      </c>
      <c r="I195" s="152" t="e">
        <f t="shared" si="17"/>
        <v>#DIV/0!</v>
      </c>
      <c r="J195" s="277" t="e">
        <f t="shared" si="36"/>
        <v>#DIV/0!</v>
      </c>
      <c r="K195" s="278" t="e">
        <f t="shared" si="19"/>
        <v>#DIV/0!</v>
      </c>
      <c r="L195" s="324" t="e">
        <f t="shared" si="20"/>
        <v>#DIV/0!</v>
      </c>
      <c r="T195" s="302" t="s">
        <v>201</v>
      </c>
      <c r="U195" s="209" t="s">
        <v>134</v>
      </c>
      <c r="V195" s="93">
        <f t="shared" si="37"/>
        <v>0</v>
      </c>
      <c r="W195" s="131">
        <f t="shared" si="37"/>
        <v>0</v>
      </c>
      <c r="X195" s="221">
        <f t="shared" si="38"/>
        <v>0</v>
      </c>
      <c r="Y195" s="222">
        <f t="shared" si="38"/>
        <v>0</v>
      </c>
      <c r="Z195" s="222">
        <f t="shared" si="39"/>
        <v>0</v>
      </c>
      <c r="AA195" s="228">
        <f t="shared" si="39"/>
        <v>0</v>
      </c>
      <c r="AB195" s="133">
        <f t="shared" si="40"/>
        <v>0</v>
      </c>
      <c r="AC195" s="300">
        <f t="shared" si="40"/>
        <v>0</v>
      </c>
    </row>
    <row r="196" spans="2:29" x14ac:dyDescent="0.2">
      <c r="B196" s="414"/>
      <c r="C196" s="301"/>
      <c r="L196" s="284"/>
      <c r="T196" s="301"/>
      <c r="AC196" s="284"/>
    </row>
    <row r="197" spans="2:29" ht="15" thickBot="1" x14ac:dyDescent="0.25">
      <c r="B197" s="415"/>
      <c r="C197" s="302" t="s">
        <v>209</v>
      </c>
      <c r="D197" s="209" t="s">
        <v>204</v>
      </c>
      <c r="E197" s="150" t="e">
        <f>AA197/$D$176</f>
        <v>#DIV/0!</v>
      </c>
      <c r="F197" s="151" t="e">
        <f>AB197/$D$176</f>
        <v>#DIV/0!</v>
      </c>
      <c r="G197" s="153" t="e">
        <f>AC197/$D$176</f>
        <v>#DIV/0!</v>
      </c>
      <c r="H197" s="151" t="e">
        <f>SUM(F197,E197)</f>
        <v>#DIV/0!</v>
      </c>
      <c r="I197" s="152" t="e">
        <f>SUM(E197:G197)</f>
        <v>#DIV/0!</v>
      </c>
      <c r="J197" s="277" t="e">
        <f>SUM(X197,Y197,Z197,AA197)/$D$176</f>
        <v>#DIV/0!</v>
      </c>
      <c r="K197" s="278" t="e">
        <f>SUM(H197,J197)</f>
        <v>#DIV/0!</v>
      </c>
      <c r="L197" s="324" t="e">
        <f>SUM(I197,J197)</f>
        <v>#DIV/0!</v>
      </c>
      <c r="T197" s="303" t="s">
        <v>209</v>
      </c>
      <c r="U197" s="304" t="s">
        <v>134</v>
      </c>
      <c r="V197" s="305"/>
      <c r="W197" s="306"/>
      <c r="X197" s="307"/>
      <c r="Y197" s="307"/>
      <c r="Z197" s="307"/>
      <c r="AA197" s="307"/>
      <c r="AB197" s="306"/>
      <c r="AC197" s="308">
        <f>SUM(AC87:AC94,AC105,AC110,AC112)</f>
        <v>0</v>
      </c>
    </row>
    <row r="198" spans="2:29" ht="15" thickBot="1" x14ac:dyDescent="0.25">
      <c r="C198" s="325" t="s">
        <v>211</v>
      </c>
      <c r="D198" s="304" t="s">
        <v>204</v>
      </c>
      <c r="E198" s="326" t="e">
        <f>E178-E197</f>
        <v>#DIV/0!</v>
      </c>
      <c r="F198" s="327" t="e">
        <f t="shared" ref="F198:L198" si="41">F178-F197</f>
        <v>#DIV/0!</v>
      </c>
      <c r="G198" s="327" t="e">
        <f t="shared" si="41"/>
        <v>#DIV/0!</v>
      </c>
      <c r="H198" s="328" t="e">
        <f t="shared" si="41"/>
        <v>#DIV/0!</v>
      </c>
      <c r="I198" s="329" t="e">
        <f t="shared" si="41"/>
        <v>#DIV/0!</v>
      </c>
      <c r="J198" s="330" t="e">
        <f t="shared" si="41"/>
        <v>#DIV/0!</v>
      </c>
      <c r="K198" s="331" t="e">
        <f t="shared" si="41"/>
        <v>#DIV/0!</v>
      </c>
      <c r="L198" s="332" t="e">
        <f t="shared" si="41"/>
        <v>#DIV/0!</v>
      </c>
    </row>
  </sheetData>
  <mergeCells count="39">
    <mergeCell ref="B5:C5"/>
    <mergeCell ref="B13:C13"/>
    <mergeCell ref="B14:C14"/>
    <mergeCell ref="C22:C24"/>
    <mergeCell ref="C35:C41"/>
    <mergeCell ref="D13:H13"/>
    <mergeCell ref="D14:H14"/>
    <mergeCell ref="H175:I175"/>
    <mergeCell ref="AD84:AD86"/>
    <mergeCell ref="B44:D44"/>
    <mergeCell ref="C45:C48"/>
    <mergeCell ref="C49:C50"/>
    <mergeCell ref="C51:C63"/>
    <mergeCell ref="C64:C67"/>
    <mergeCell ref="F84:G84"/>
    <mergeCell ref="B78:C79"/>
    <mergeCell ref="S84:U85"/>
    <mergeCell ref="O84:R84"/>
    <mergeCell ref="C68:C72"/>
    <mergeCell ref="V84:AC84"/>
    <mergeCell ref="C84:C86"/>
    <mergeCell ref="D84:D86"/>
    <mergeCell ref="G81:M81"/>
    <mergeCell ref="G80:M80"/>
    <mergeCell ref="H84:N84"/>
    <mergeCell ref="L85:N85"/>
    <mergeCell ref="T176:T178"/>
    <mergeCell ref="B84:B86"/>
    <mergeCell ref="B15:C15"/>
    <mergeCell ref="D15:H15"/>
    <mergeCell ref="B16:C16"/>
    <mergeCell ref="B17:C17"/>
    <mergeCell ref="B18:C18"/>
    <mergeCell ref="F18:H18"/>
    <mergeCell ref="K175:L175"/>
    <mergeCell ref="B176:B197"/>
    <mergeCell ref="C25:C28"/>
    <mergeCell ref="C29:C31"/>
    <mergeCell ref="C32:C34"/>
  </mergeCells>
  <conditionalFormatting sqref="E118">
    <cfRule type="cellIs" dxfId="18" priority="5" operator="equal">
      <formula>"na"</formula>
    </cfRule>
  </conditionalFormatting>
  <conditionalFormatting sqref="E95:G95">
    <cfRule type="cellIs" dxfId="17" priority="9" operator="equal">
      <formula>"na"</formula>
    </cfRule>
  </conditionalFormatting>
  <conditionalFormatting sqref="E111:G111">
    <cfRule type="cellIs" dxfId="16" priority="8" operator="equal">
      <formula>"na"</formula>
    </cfRule>
  </conditionalFormatting>
  <conditionalFormatting sqref="E114:G115">
    <cfRule type="cellIs" dxfId="15" priority="7" operator="equal">
      <formula>"na"</formula>
    </cfRule>
  </conditionalFormatting>
  <conditionalFormatting sqref="E126:G129">
    <cfRule type="cellIs" dxfId="14" priority="3" operator="equal">
      <formula>"na"</formula>
    </cfRule>
  </conditionalFormatting>
  <conditionalFormatting sqref="E158:G160">
    <cfRule type="cellIs" dxfId="13" priority="1" operator="equal">
      <formula>"na"</formula>
    </cfRule>
  </conditionalFormatting>
  <conditionalFormatting sqref="H87:U87 U88:U171 H88:R171">
    <cfRule type="cellIs" dxfId="12" priority="11" operator="equal">
      <formula>"na"</formula>
    </cfRule>
  </conditionalFormatting>
  <dataValidations count="9">
    <dataValidation type="custom" allowBlank="1" showInputMessage="1" showErrorMessage="1" errorTitle="Data Format" error="The value entered does not match the format of cell._x000a__x000a_This is a fixed value cell. It should be left blank." sqref="J98:J103 J106:J108 J113:J116 J161:K161 K162:K167 J164:J171 N97:N99 N103 J111:M111 K106:M109 R161:R167 N168:N171 R153:R157 R111 Q172 R106:R109 R113:R115 R122 R96 N87 L161:M167 J96:N96 X172:AC172 J153:M157 K122:M122 K113:M115" xr:uid="{1D5F755B-391B-4FED-A169-ADE499436BF1}">
      <formula1>0</formula1>
    </dataValidation>
    <dataValidation type="textLength" showInputMessage="1" showErrorMessage="1" errorTitle="Data format" error="The value entered does not match the format of cell._x000a__x000a_Year value should be 4 integer digit. i.e. 2007" sqref="D43 E19 D13:D18 D20:D36" xr:uid="{DD2D1498-022E-426B-87F9-5DBD5001E07B}">
      <formula1>4</formula1>
      <formula2>4</formula2>
    </dataValidation>
    <dataValidation type="custom" allowBlank="1" showInputMessage="1" showErrorMessage="1" errorTitle="Data format " error="The value entered does not match the format of cell._x000a_The value entered does not match the format of cell._x000a__x000a_This is a fixed value cell." sqref="R168:R169 K168:M169" xr:uid="{A3B18CC2-FBF1-461D-BBAD-C41BA4CB930C}">
      <formula1>1</formula1>
    </dataValidation>
    <dataValidation allowBlank="1" showInputMessage="1" showErrorMessage="1" errorTitle="Grid Not Recognized" error="The value entered does not correspond to one of the Sources of Electricity Grid Information accpeted by the worldsteel methodology." sqref="N153" xr:uid="{6337E9ED-5838-4088-9BAA-0A7DD283865E}"/>
    <dataValidation type="list" allowBlank="1" showInputMessage="1" showErrorMessage="1" errorTitle="Grid Not Recognized" error="The value entered does not correspond to one of the Sources of Electricity Grid Information accpeted by the worldsteel methodology." sqref="U153" xr:uid="{9A26B4B8-4FA0-4608-B21A-35D196AE78E6}">
      <formula1>$E$80:$E$81</formula1>
    </dataValidation>
    <dataValidation allowBlank="1" showInputMessage="1" showErrorMessage="1" prompt="add any information necessary to clarify the site structure" sqref="G80:G81" xr:uid="{E3C8935B-955C-4BFD-B487-5A691386B0AA}"/>
    <dataValidation allowBlank="1" showInputMessage="1" showErrorMessage="1" errorTitle="Data Format" error="The value entered does not match the format of cell._x000a__x000a_This is a fixed value cell. It should be left blank." sqref="N88:N94 N110 N112" xr:uid="{C63B741D-387C-4CD6-9036-A938E89027F9}"/>
    <dataValidation type="decimal" operator="greaterThan" allowBlank="1" showInputMessage="1" showErrorMessage="1" errorTitle="Wrong format" error="The minimum value allowed is 0.000001 (six decimal spaces).  " sqref="R170:R171 O87:Q171" xr:uid="{586FD143-661E-426A-B9B0-A06D5E5F03EA}">
      <formula1>0.000001</formula1>
    </dataValidation>
    <dataValidation type="decimal" operator="greaterThan" allowBlank="1" showInputMessage="1" showErrorMessage="1" sqref="S88:U105 U87 S109:T109 S170:T170 S122:T122 S158:T160 U162:U171 U107:U152" xr:uid="{459D0B61-9449-49B8-8DE6-A48E5D1ABD19}">
      <formula1>0.000001</formula1>
    </dataValidation>
  </dataValidations>
  <pageMargins left="0.7" right="0.7" top="0.75" bottom="0.75" header="0.3" footer="0.3"/>
  <pageSetup paperSize="9" scale="2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8675-FDCF-7D46-BF45-025944F01ACD}">
  <sheetPr>
    <tabColor theme="4" tint="0.79998168889431442"/>
    <pageSetUpPr fitToPage="1"/>
  </sheetPr>
  <dimension ref="A3:AG200"/>
  <sheetViews>
    <sheetView showGridLines="0" topLeftCell="A181" zoomScale="125" zoomScaleNormal="40" zoomScaleSheetLayoutView="100" workbookViewId="0">
      <selection activeCell="U155" sqref="U155"/>
    </sheetView>
  </sheetViews>
  <sheetFormatPr baseColWidth="10" defaultColWidth="8.83203125" defaultRowHeight="14" x14ac:dyDescent="0.2"/>
  <cols>
    <col min="1" max="1" width="3.33203125" style="25" customWidth="1"/>
    <col min="2" max="2" width="18.33203125" style="25" customWidth="1"/>
    <col min="3" max="3" width="24" style="25" customWidth="1"/>
    <col min="4" max="4" width="21.33203125" style="25" customWidth="1"/>
    <col min="5" max="5" width="27.33203125" style="25" customWidth="1"/>
    <col min="6" max="6" width="13.33203125" style="25" customWidth="1"/>
    <col min="7" max="7" width="15" style="25" customWidth="1"/>
    <col min="8" max="8" width="14.5" style="25" customWidth="1"/>
    <col min="9" max="9" width="15" style="25" customWidth="1"/>
    <col min="10" max="10" width="13.33203125" style="25" customWidth="1"/>
    <col min="11" max="11" width="15.33203125" style="25" customWidth="1"/>
    <col min="12" max="12" width="14" style="25" customWidth="1"/>
    <col min="13" max="15" width="13.33203125" style="25" customWidth="1"/>
    <col min="16" max="16" width="16" style="25" customWidth="1"/>
    <col min="17" max="17" width="15.1640625" style="25" customWidth="1"/>
    <col min="18" max="18" width="17" style="25" customWidth="1"/>
    <col min="19" max="19" width="13.33203125" style="25" customWidth="1"/>
    <col min="20" max="20" width="16.83203125" style="25" customWidth="1"/>
    <col min="21" max="21" width="13.33203125" style="25" customWidth="1"/>
    <col min="22" max="29" width="14.1640625" style="25" customWidth="1"/>
    <col min="30" max="30" width="36.33203125" style="25" customWidth="1"/>
    <col min="31" max="33" width="11.1640625" style="25" customWidth="1"/>
    <col min="34" max="34" width="13.6640625" style="25" bestFit="1" customWidth="1"/>
    <col min="35" max="35" width="12" style="25" bestFit="1" customWidth="1"/>
    <col min="36" max="36" width="11.1640625" style="25" customWidth="1"/>
    <col min="37" max="38" width="13.6640625" style="25" bestFit="1" customWidth="1"/>
    <col min="39" max="39" width="11.1640625" style="25" customWidth="1"/>
    <col min="40" max="40" width="15.33203125" style="25" bestFit="1" customWidth="1"/>
    <col min="41" max="53" width="11.1640625" style="25" customWidth="1"/>
    <col min="54" max="16384" width="8.83203125" style="25"/>
  </cols>
  <sheetData>
    <row r="3" spans="1:15" ht="34" x14ac:dyDescent="0.2">
      <c r="B3" s="182" t="s">
        <v>271</v>
      </c>
    </row>
    <row r="5" spans="1:15" ht="16" x14ac:dyDescent="0.2">
      <c r="B5" s="403" t="s">
        <v>303</v>
      </c>
      <c r="C5" s="403"/>
      <c r="D5" s="286"/>
      <c r="E5" s="286"/>
    </row>
    <row r="6" spans="1:15" x14ac:dyDescent="0.2">
      <c r="B6" s="280"/>
      <c r="C6" s="287" t="s">
        <v>110</v>
      </c>
      <c r="D6" s="27"/>
      <c r="E6" s="27"/>
    </row>
    <row r="7" spans="1:15" x14ac:dyDescent="0.2">
      <c r="B7" s="281"/>
      <c r="C7" s="288" t="s">
        <v>99</v>
      </c>
    </row>
    <row r="8" spans="1:15" x14ac:dyDescent="0.2">
      <c r="B8" s="282"/>
      <c r="C8" s="288" t="s">
        <v>100</v>
      </c>
    </row>
    <row r="9" spans="1:15" x14ac:dyDescent="0.2">
      <c r="B9" s="283"/>
      <c r="C9" s="287" t="s">
        <v>302</v>
      </c>
    </row>
    <row r="10" spans="1:15" ht="17" customHeight="1" x14ac:dyDescent="0.2">
      <c r="B10" s="337"/>
      <c r="C10" s="338" t="s">
        <v>316</v>
      </c>
      <c r="D10" s="157"/>
      <c r="E10" s="157"/>
      <c r="I10" s="26"/>
      <c r="J10" s="26"/>
      <c r="M10" s="26"/>
      <c r="N10" s="26"/>
    </row>
    <row r="11" spans="1:15" ht="17" customHeight="1" x14ac:dyDescent="0.2">
      <c r="I11" s="27"/>
      <c r="J11" s="27"/>
      <c r="M11" s="27"/>
      <c r="N11" s="27"/>
    </row>
    <row r="12" spans="1:15" ht="16" customHeight="1" x14ac:dyDescent="0.2">
      <c r="B12" s="156" t="s">
        <v>267</v>
      </c>
      <c r="D12" s="285"/>
      <c r="I12" s="27"/>
      <c r="J12" s="27"/>
      <c r="M12" s="27"/>
      <c r="N12" s="27"/>
    </row>
    <row r="13" spans="1:15" ht="16" customHeight="1" x14ac:dyDescent="0.2">
      <c r="B13" s="399" t="s">
        <v>0</v>
      </c>
      <c r="C13" s="400"/>
      <c r="D13" s="401"/>
      <c r="E13" s="401"/>
      <c r="F13" s="401"/>
      <c r="G13" s="401"/>
      <c r="H13" s="401"/>
      <c r="I13" s="27"/>
      <c r="J13" s="27"/>
      <c r="M13" s="27"/>
      <c r="N13" s="27"/>
    </row>
    <row r="14" spans="1:15" ht="16" customHeight="1" x14ac:dyDescent="0.2">
      <c r="B14" s="399" t="s">
        <v>1</v>
      </c>
      <c r="C14" s="400"/>
      <c r="D14" s="401"/>
      <c r="E14" s="402"/>
      <c r="F14" s="402"/>
      <c r="G14" s="402"/>
      <c r="H14" s="402"/>
      <c r="I14" s="27"/>
      <c r="J14" s="27"/>
      <c r="M14" s="27"/>
      <c r="N14" s="27"/>
    </row>
    <row r="15" spans="1:15" ht="16" x14ac:dyDescent="0.2">
      <c r="A15" s="27"/>
      <c r="B15" s="399" t="s">
        <v>90</v>
      </c>
      <c r="C15" s="400"/>
      <c r="D15" s="401"/>
      <c r="E15" s="402"/>
      <c r="F15" s="402"/>
      <c r="G15" s="402"/>
      <c r="H15" s="402"/>
      <c r="J15" s="37"/>
      <c r="L15" s="95"/>
      <c r="M15" s="42"/>
      <c r="N15" s="28"/>
      <c r="O15" s="27"/>
    </row>
    <row r="16" spans="1:15" ht="16" x14ac:dyDescent="0.2">
      <c r="A16" s="27"/>
      <c r="B16" s="396" t="s">
        <v>213</v>
      </c>
      <c r="C16" s="397"/>
      <c r="D16" s="401"/>
      <c r="E16" s="402"/>
      <c r="F16" s="402"/>
      <c r="G16" s="402"/>
      <c r="H16" s="402"/>
      <c r="J16" s="37"/>
      <c r="L16" s="95"/>
      <c r="M16" s="42"/>
      <c r="N16" s="28"/>
      <c r="O16" s="27"/>
    </row>
    <row r="17" spans="1:16" ht="16" x14ac:dyDescent="0.2">
      <c r="A17" s="27"/>
      <c r="B17" s="396" t="s">
        <v>214</v>
      </c>
      <c r="C17" s="397"/>
      <c r="D17" s="401"/>
      <c r="E17" s="401"/>
      <c r="F17" s="401"/>
      <c r="G17" s="401"/>
      <c r="H17" s="401"/>
      <c r="J17" s="37"/>
      <c r="L17" s="95"/>
      <c r="M17" s="42"/>
      <c r="N17" s="28"/>
      <c r="O17" s="27"/>
    </row>
    <row r="18" spans="1:16" ht="17" x14ac:dyDescent="0.2">
      <c r="A18" s="27"/>
      <c r="B18" s="396" t="s">
        <v>215</v>
      </c>
      <c r="C18" s="397"/>
      <c r="D18" s="159"/>
      <c r="E18" s="158" t="s">
        <v>216</v>
      </c>
      <c r="F18" s="159"/>
      <c r="G18" s="158" t="s">
        <v>217</v>
      </c>
      <c r="H18" s="159"/>
      <c r="J18" s="37"/>
      <c r="L18" s="95"/>
      <c r="M18" s="42"/>
      <c r="N18" s="28"/>
      <c r="O18" s="27"/>
    </row>
    <row r="19" spans="1:16" ht="17" x14ac:dyDescent="0.2">
      <c r="A19" s="27"/>
      <c r="B19" s="396" t="s">
        <v>218</v>
      </c>
      <c r="C19" s="397"/>
      <c r="D19" s="159"/>
      <c r="E19" s="158" t="s">
        <v>219</v>
      </c>
      <c r="F19" s="159"/>
      <c r="G19" s="158" t="s">
        <v>220</v>
      </c>
      <c r="H19" s="159"/>
      <c r="J19" s="37"/>
      <c r="L19" s="95"/>
      <c r="M19" s="42"/>
      <c r="N19" s="28"/>
      <c r="O19" s="27"/>
    </row>
    <row r="20" spans="1:16" ht="17" x14ac:dyDescent="0.2">
      <c r="A20" s="27"/>
      <c r="B20" s="396" t="s">
        <v>217</v>
      </c>
      <c r="C20" s="397"/>
      <c r="D20" s="159"/>
      <c r="E20" s="158" t="s">
        <v>221</v>
      </c>
      <c r="F20" s="398"/>
      <c r="G20" s="398"/>
      <c r="H20" s="398"/>
      <c r="J20" s="37"/>
      <c r="L20" s="95"/>
      <c r="M20" s="42"/>
      <c r="N20" s="28"/>
      <c r="O20" s="27"/>
    </row>
    <row r="21" spans="1:16" ht="16" x14ac:dyDescent="0.2">
      <c r="A21" s="27"/>
      <c r="B21" s="27"/>
      <c r="C21" s="160"/>
      <c r="D21" s="161"/>
      <c r="E21" s="162"/>
      <c r="F21" s="162"/>
      <c r="G21" s="162"/>
      <c r="H21" s="162"/>
      <c r="I21" s="162"/>
      <c r="K21" s="37"/>
      <c r="M21" s="95"/>
      <c r="N21" s="42"/>
      <c r="O21" s="28"/>
      <c r="P21" s="27"/>
    </row>
    <row r="22" spans="1:16" ht="16" x14ac:dyDescent="0.2">
      <c r="A22" s="27"/>
      <c r="B22" s="163" t="s">
        <v>268</v>
      </c>
      <c r="C22" s="157"/>
      <c r="D22" s="157"/>
      <c r="E22" s="157"/>
      <c r="F22" s="157"/>
      <c r="G22" s="157"/>
      <c r="H22" s="157"/>
      <c r="J22" s="37"/>
      <c r="L22" s="95"/>
      <c r="M22" s="42"/>
      <c r="N22" s="28"/>
      <c r="O22" s="27"/>
    </row>
    <row r="23" spans="1:16" ht="16" x14ac:dyDescent="0.2">
      <c r="A23" s="27"/>
      <c r="B23" s="164" t="s">
        <v>222</v>
      </c>
      <c r="C23" s="165"/>
      <c r="D23" s="165"/>
      <c r="E23" s="165"/>
      <c r="F23" s="165"/>
      <c r="G23" s="165"/>
      <c r="H23" s="165"/>
      <c r="J23" s="37"/>
      <c r="L23" s="95"/>
      <c r="M23" s="42"/>
      <c r="N23" s="28"/>
      <c r="O23" s="27"/>
    </row>
    <row r="24" spans="1:16" ht="34" customHeight="1" x14ac:dyDescent="0.2">
      <c r="A24" s="27"/>
      <c r="B24" s="166" t="s">
        <v>223</v>
      </c>
      <c r="C24" s="167" t="s">
        <v>224</v>
      </c>
      <c r="D24" s="168" t="s">
        <v>225</v>
      </c>
      <c r="E24" s="169" t="s">
        <v>94</v>
      </c>
      <c r="F24" s="169" t="s">
        <v>226</v>
      </c>
      <c r="G24" s="419" t="s">
        <v>227</v>
      </c>
      <c r="H24" s="419"/>
      <c r="J24" s="37"/>
      <c r="L24" s="95"/>
      <c r="M24" s="42"/>
      <c r="N24" s="28"/>
      <c r="O24" s="27"/>
    </row>
    <row r="25" spans="1:16" ht="17" x14ac:dyDescent="0.2">
      <c r="A25" s="27"/>
      <c r="B25" s="170">
        <v>1</v>
      </c>
      <c r="C25" s="416" t="s">
        <v>228</v>
      </c>
      <c r="D25" s="183" t="s">
        <v>229</v>
      </c>
      <c r="E25" s="159"/>
      <c r="F25" s="159"/>
      <c r="G25" s="398"/>
      <c r="H25" s="398"/>
      <c r="J25" s="37"/>
      <c r="L25" s="95"/>
      <c r="M25" s="42"/>
      <c r="N25" s="28"/>
      <c r="O25" s="27"/>
    </row>
    <row r="26" spans="1:16" ht="17" x14ac:dyDescent="0.2">
      <c r="A26" s="27"/>
      <c r="B26" s="170">
        <v>2</v>
      </c>
      <c r="C26" s="417"/>
      <c r="D26" s="183" t="s">
        <v>3</v>
      </c>
      <c r="E26" s="159"/>
      <c r="F26" s="159"/>
      <c r="G26" s="398"/>
      <c r="H26" s="398"/>
      <c r="J26" s="37"/>
      <c r="L26" s="95"/>
      <c r="M26" s="42"/>
      <c r="N26" s="28"/>
      <c r="O26" s="27"/>
    </row>
    <row r="27" spans="1:16" ht="17" x14ac:dyDescent="0.2">
      <c r="A27" s="27"/>
      <c r="B27" s="170">
        <v>3</v>
      </c>
      <c r="C27" s="418"/>
      <c r="D27" s="183" t="s">
        <v>2</v>
      </c>
      <c r="E27" s="159"/>
      <c r="F27" s="159"/>
      <c r="G27" s="398"/>
      <c r="H27" s="398"/>
      <c r="J27" s="37"/>
      <c r="L27" s="95"/>
      <c r="M27" s="42"/>
      <c r="N27" s="28"/>
      <c r="O27" s="27"/>
    </row>
    <row r="28" spans="1:16" ht="17" x14ac:dyDescent="0.2">
      <c r="A28" s="27"/>
      <c r="B28" s="170">
        <v>4</v>
      </c>
      <c r="C28" s="416" t="s">
        <v>230</v>
      </c>
      <c r="D28" s="183" t="s">
        <v>231</v>
      </c>
      <c r="E28" s="159"/>
      <c r="F28" s="159"/>
      <c r="G28" s="398"/>
      <c r="H28" s="398"/>
      <c r="J28" s="37"/>
      <c r="L28" s="95"/>
      <c r="M28" s="42"/>
      <c r="N28" s="28"/>
      <c r="O28" s="27"/>
    </row>
    <row r="29" spans="1:16" ht="34" x14ac:dyDescent="0.2">
      <c r="A29" s="27"/>
      <c r="B29" s="170">
        <v>5</v>
      </c>
      <c r="C29" s="417"/>
      <c r="D29" s="183" t="s">
        <v>232</v>
      </c>
      <c r="E29" s="159"/>
      <c r="F29" s="159"/>
      <c r="G29" s="398"/>
      <c r="H29" s="398"/>
      <c r="J29" s="37"/>
      <c r="L29" s="95"/>
      <c r="M29" s="42"/>
      <c r="N29" s="28"/>
      <c r="O29" s="27"/>
    </row>
    <row r="30" spans="1:16" ht="17" x14ac:dyDescent="0.2">
      <c r="A30" s="27"/>
      <c r="B30" s="170">
        <v>6</v>
      </c>
      <c r="C30" s="417"/>
      <c r="D30" s="183" t="s">
        <v>233</v>
      </c>
      <c r="E30" s="159"/>
      <c r="F30" s="159"/>
      <c r="G30" s="398"/>
      <c r="H30" s="398"/>
      <c r="J30" s="37"/>
      <c r="L30" s="95"/>
      <c r="M30" s="42"/>
      <c r="N30" s="28"/>
      <c r="O30" s="27"/>
    </row>
    <row r="31" spans="1:16" ht="17" x14ac:dyDescent="0.2">
      <c r="A31" s="27"/>
      <c r="B31" s="170">
        <v>7</v>
      </c>
      <c r="C31" s="418"/>
      <c r="D31" s="183" t="s">
        <v>234</v>
      </c>
      <c r="E31" s="159"/>
      <c r="F31" s="159"/>
      <c r="G31" s="398"/>
      <c r="H31" s="398"/>
      <c r="J31" s="37"/>
      <c r="L31" s="95"/>
      <c r="M31" s="42"/>
      <c r="N31" s="28"/>
      <c r="O31" s="27"/>
    </row>
    <row r="32" spans="1:16" ht="34" x14ac:dyDescent="0.2">
      <c r="A32" s="27"/>
      <c r="B32" s="170">
        <v>8</v>
      </c>
      <c r="C32" s="416" t="s">
        <v>235</v>
      </c>
      <c r="D32" s="183" t="s">
        <v>236</v>
      </c>
      <c r="E32" s="159"/>
      <c r="F32" s="159"/>
      <c r="G32" s="398"/>
      <c r="H32" s="398"/>
      <c r="J32" s="37"/>
      <c r="L32" s="95"/>
      <c r="M32" s="42"/>
      <c r="N32" s="28"/>
      <c r="O32" s="27"/>
    </row>
    <row r="33" spans="1:16" ht="17" x14ac:dyDescent="0.2">
      <c r="A33" s="27"/>
      <c r="B33" s="170">
        <v>9</v>
      </c>
      <c r="C33" s="417"/>
      <c r="D33" s="183" t="s">
        <v>237</v>
      </c>
      <c r="E33" s="159"/>
      <c r="F33" s="159"/>
      <c r="G33" s="398"/>
      <c r="H33" s="398"/>
      <c r="J33" s="37"/>
      <c r="L33" s="95"/>
      <c r="M33" s="42"/>
      <c r="N33" s="28"/>
      <c r="O33" s="27"/>
    </row>
    <row r="34" spans="1:16" ht="17" x14ac:dyDescent="0.2">
      <c r="A34" s="27"/>
      <c r="B34" s="170">
        <v>10</v>
      </c>
      <c r="C34" s="418"/>
      <c r="D34" s="183" t="s">
        <v>238</v>
      </c>
      <c r="E34" s="159"/>
      <c r="F34" s="159"/>
      <c r="G34" s="398"/>
      <c r="H34" s="398"/>
      <c r="J34" s="37"/>
      <c r="L34" s="95"/>
      <c r="M34" s="42"/>
      <c r="N34" s="28"/>
      <c r="O34" s="27"/>
    </row>
    <row r="35" spans="1:16" ht="17" x14ac:dyDescent="0.2">
      <c r="A35" s="27"/>
      <c r="B35" s="170">
        <v>11</v>
      </c>
      <c r="C35" s="416" t="s">
        <v>239</v>
      </c>
      <c r="D35" s="183" t="s">
        <v>240</v>
      </c>
      <c r="E35" s="159"/>
      <c r="F35" s="159"/>
      <c r="G35" s="398"/>
      <c r="H35" s="398"/>
      <c r="J35" s="37"/>
      <c r="L35" s="95"/>
      <c r="M35" s="42"/>
      <c r="N35" s="28"/>
      <c r="O35" s="27"/>
    </row>
    <row r="36" spans="1:16" ht="17" x14ac:dyDescent="0.2">
      <c r="A36" s="27"/>
      <c r="B36" s="170">
        <v>12</v>
      </c>
      <c r="C36" s="417"/>
      <c r="D36" s="183" t="s">
        <v>241</v>
      </c>
      <c r="E36" s="159"/>
      <c r="F36" s="159"/>
      <c r="G36" s="398"/>
      <c r="H36" s="398"/>
      <c r="J36" s="37"/>
      <c r="L36" s="95"/>
      <c r="M36" s="42"/>
      <c r="N36" s="28"/>
      <c r="O36" s="27"/>
    </row>
    <row r="37" spans="1:16" ht="17" x14ac:dyDescent="0.2">
      <c r="A37" s="27"/>
      <c r="B37" s="170">
        <v>13</v>
      </c>
      <c r="C37" s="418"/>
      <c r="D37" s="183" t="s">
        <v>242</v>
      </c>
      <c r="E37" s="159"/>
      <c r="F37" s="159"/>
      <c r="G37" s="398"/>
      <c r="H37" s="398"/>
      <c r="J37" s="37"/>
      <c r="L37" s="95"/>
      <c r="M37" s="42"/>
      <c r="N37" s="28"/>
      <c r="O37" s="27"/>
    </row>
    <row r="38" spans="1:16" ht="17" x14ac:dyDescent="0.2">
      <c r="A38" s="27"/>
      <c r="B38" s="170">
        <v>14</v>
      </c>
      <c r="C38" s="419" t="s">
        <v>243</v>
      </c>
      <c r="D38" s="183" t="s">
        <v>244</v>
      </c>
      <c r="E38" s="159"/>
      <c r="F38" s="159"/>
      <c r="G38" s="398"/>
      <c r="H38" s="398"/>
      <c r="J38" s="37"/>
      <c r="L38" s="95"/>
      <c r="M38" s="42"/>
      <c r="N38" s="28"/>
      <c r="O38" s="27"/>
    </row>
    <row r="39" spans="1:16" ht="17" x14ac:dyDescent="0.2">
      <c r="A39" s="27"/>
      <c r="B39" s="170">
        <v>15</v>
      </c>
      <c r="C39" s="419"/>
      <c r="D39" s="183" t="s">
        <v>245</v>
      </c>
      <c r="E39" s="159"/>
      <c r="F39" s="159"/>
      <c r="G39" s="398"/>
      <c r="H39" s="398"/>
      <c r="J39" s="37"/>
      <c r="L39" s="95"/>
      <c r="M39" s="42"/>
      <c r="N39" s="28"/>
      <c r="O39" s="27"/>
    </row>
    <row r="40" spans="1:16" ht="17" x14ac:dyDescent="0.2">
      <c r="A40" s="27"/>
      <c r="B40" s="170">
        <v>16</v>
      </c>
      <c r="C40" s="419"/>
      <c r="D40" s="183" t="s">
        <v>246</v>
      </c>
      <c r="E40" s="159"/>
      <c r="F40" s="159"/>
      <c r="G40" s="398"/>
      <c r="H40" s="398"/>
      <c r="J40" s="37"/>
      <c r="L40" s="95"/>
      <c r="M40" s="42"/>
      <c r="N40" s="28"/>
      <c r="O40" s="27"/>
    </row>
    <row r="41" spans="1:16" ht="17" x14ac:dyDescent="0.2">
      <c r="A41" s="27"/>
      <c r="B41" s="170">
        <v>18</v>
      </c>
      <c r="C41" s="419"/>
      <c r="D41" s="183" t="s">
        <v>247</v>
      </c>
      <c r="E41" s="159"/>
      <c r="F41" s="159"/>
      <c r="G41" s="398"/>
      <c r="H41" s="398"/>
      <c r="J41" s="37"/>
      <c r="L41" s="95"/>
      <c r="M41" s="42"/>
      <c r="N41" s="28"/>
      <c r="O41" s="27"/>
    </row>
    <row r="42" spans="1:16" ht="16" x14ac:dyDescent="0.2">
      <c r="A42" s="27"/>
      <c r="B42" s="27"/>
      <c r="C42" s="171"/>
      <c r="D42" s="172"/>
      <c r="E42" s="173"/>
      <c r="F42" s="174"/>
      <c r="G42" s="174"/>
      <c r="H42" s="175"/>
      <c r="I42" s="175"/>
      <c r="K42" s="37"/>
      <c r="M42" s="95"/>
      <c r="N42" s="42"/>
      <c r="O42" s="28"/>
      <c r="P42" s="27"/>
    </row>
    <row r="43" spans="1:16" ht="16" x14ac:dyDescent="0.2">
      <c r="A43" s="27"/>
      <c r="B43" s="163" t="s">
        <v>269</v>
      </c>
      <c r="C43" s="213"/>
      <c r="D43" s="214"/>
      <c r="E43" s="214"/>
      <c r="F43" s="215"/>
      <c r="G43" s="216"/>
      <c r="H43" s="216"/>
      <c r="J43" s="37"/>
      <c r="L43" s="95"/>
      <c r="M43" s="42"/>
      <c r="N43" s="28"/>
      <c r="O43" s="27"/>
    </row>
    <row r="44" spans="1:16" ht="16" x14ac:dyDescent="0.2">
      <c r="A44" s="27"/>
      <c r="B44" s="431" t="s">
        <v>248</v>
      </c>
      <c r="C44" s="431"/>
      <c r="D44" s="431"/>
      <c r="E44" s="176" t="s">
        <v>93</v>
      </c>
      <c r="F44" s="176" t="s">
        <v>249</v>
      </c>
      <c r="G44" s="176" t="s">
        <v>250</v>
      </c>
      <c r="H44" s="177" t="s">
        <v>251</v>
      </c>
      <c r="J44" s="37"/>
      <c r="L44" s="95"/>
      <c r="M44" s="42"/>
      <c r="N44" s="28"/>
      <c r="O44" s="27"/>
    </row>
    <row r="45" spans="1:16" ht="16" x14ac:dyDescent="0.2">
      <c r="A45" s="27"/>
      <c r="B45" s="170">
        <v>1</v>
      </c>
      <c r="C45" s="432" t="s">
        <v>104</v>
      </c>
      <c r="D45" s="184" t="s">
        <v>21</v>
      </c>
      <c r="E45" s="185" t="s">
        <v>14</v>
      </c>
      <c r="F45" s="154"/>
      <c r="G45" s="159"/>
      <c r="H45" s="159"/>
      <c r="J45" s="37"/>
      <c r="L45" s="95"/>
      <c r="M45" s="42"/>
      <c r="N45" s="28"/>
      <c r="O45" s="27"/>
    </row>
    <row r="46" spans="1:16" ht="16" x14ac:dyDescent="0.2">
      <c r="A46" s="27"/>
      <c r="B46" s="170">
        <v>2</v>
      </c>
      <c r="C46" s="432"/>
      <c r="D46" s="184" t="s">
        <v>34</v>
      </c>
      <c r="E46" s="185" t="s">
        <v>27</v>
      </c>
      <c r="F46" s="159"/>
      <c r="G46" s="159"/>
      <c r="H46" s="159"/>
      <c r="J46" s="37"/>
      <c r="L46" s="95"/>
      <c r="M46" s="42"/>
      <c r="N46" s="28"/>
      <c r="O46" s="27"/>
    </row>
    <row r="47" spans="1:16" ht="16" x14ac:dyDescent="0.2">
      <c r="A47" s="27"/>
      <c r="B47" s="170">
        <v>3</v>
      </c>
      <c r="C47" s="432"/>
      <c r="D47" s="184" t="s">
        <v>273</v>
      </c>
      <c r="E47" s="185" t="s">
        <v>27</v>
      </c>
      <c r="F47" s="159"/>
      <c r="G47" s="159"/>
      <c r="H47" s="159"/>
      <c r="J47" s="37"/>
      <c r="L47" s="95"/>
      <c r="M47" s="42"/>
      <c r="N47" s="28"/>
      <c r="O47" s="27"/>
    </row>
    <row r="48" spans="1:16" ht="16" x14ac:dyDescent="0.2">
      <c r="A48" s="27"/>
      <c r="B48" s="170">
        <v>4</v>
      </c>
      <c r="C48" s="432"/>
      <c r="D48" s="184" t="s">
        <v>252</v>
      </c>
      <c r="E48" s="185" t="s">
        <v>27</v>
      </c>
      <c r="F48" s="178"/>
      <c r="G48" s="178"/>
      <c r="H48" s="178"/>
      <c r="J48" s="37"/>
      <c r="L48" s="95"/>
      <c r="M48" s="42"/>
      <c r="N48" s="28"/>
      <c r="O48" s="27"/>
    </row>
    <row r="49" spans="1:15" ht="16" x14ac:dyDescent="0.2">
      <c r="A49" s="27"/>
      <c r="B49" s="170">
        <v>5</v>
      </c>
      <c r="C49" s="432" t="s">
        <v>103</v>
      </c>
      <c r="D49" s="184" t="s">
        <v>253</v>
      </c>
      <c r="E49" s="185" t="s">
        <v>27</v>
      </c>
      <c r="F49" s="159"/>
      <c r="G49" s="159"/>
      <c r="H49" s="159"/>
      <c r="J49" s="37"/>
      <c r="L49" s="95"/>
      <c r="M49" s="42"/>
      <c r="N49" s="28"/>
      <c r="O49" s="27"/>
    </row>
    <row r="50" spans="1:15" ht="16" x14ac:dyDescent="0.2">
      <c r="A50" s="27"/>
      <c r="B50" s="170">
        <v>6</v>
      </c>
      <c r="C50" s="432"/>
      <c r="D50" s="184" t="s">
        <v>254</v>
      </c>
      <c r="E50" s="185" t="s">
        <v>27</v>
      </c>
      <c r="F50" s="159"/>
      <c r="G50" s="159"/>
      <c r="H50" s="159"/>
      <c r="J50" s="37"/>
      <c r="L50" s="95"/>
      <c r="M50" s="42"/>
      <c r="N50" s="28"/>
      <c r="O50" s="27"/>
    </row>
    <row r="51" spans="1:15" ht="17" x14ac:dyDescent="0.2">
      <c r="A51" s="27"/>
      <c r="B51" s="170">
        <v>7</v>
      </c>
      <c r="C51" s="432" t="s">
        <v>105</v>
      </c>
      <c r="D51" s="186" t="s">
        <v>255</v>
      </c>
      <c r="E51" s="185" t="s">
        <v>27</v>
      </c>
      <c r="F51" s="159"/>
      <c r="G51" s="159"/>
      <c r="H51" s="159"/>
      <c r="J51" s="37"/>
      <c r="L51" s="95"/>
      <c r="M51" s="42"/>
      <c r="N51" s="28"/>
      <c r="O51" s="27"/>
    </row>
    <row r="52" spans="1:15" ht="17" x14ac:dyDescent="0.2">
      <c r="A52" s="27"/>
      <c r="B52" s="170">
        <v>8</v>
      </c>
      <c r="C52" s="432"/>
      <c r="D52" s="186" t="s">
        <v>256</v>
      </c>
      <c r="E52" s="185" t="s">
        <v>27</v>
      </c>
      <c r="F52" s="159"/>
      <c r="G52" s="159"/>
      <c r="H52" s="159"/>
      <c r="J52" s="37"/>
      <c r="L52" s="95"/>
      <c r="M52" s="42"/>
      <c r="N52" s="28"/>
      <c r="O52" s="27"/>
    </row>
    <row r="53" spans="1:15" ht="34" x14ac:dyDescent="0.2">
      <c r="A53" s="27"/>
      <c r="B53" s="170">
        <v>9</v>
      </c>
      <c r="C53" s="432"/>
      <c r="D53" s="186" t="s">
        <v>141</v>
      </c>
      <c r="E53" s="185" t="s">
        <v>27</v>
      </c>
      <c r="F53" s="159"/>
      <c r="G53" s="159"/>
      <c r="H53" s="159"/>
      <c r="J53" s="37"/>
      <c r="L53" s="95"/>
      <c r="M53" s="42"/>
      <c r="N53" s="28"/>
      <c r="O53" s="27"/>
    </row>
    <row r="54" spans="1:15" ht="17" x14ac:dyDescent="0.2">
      <c r="A54" s="27"/>
      <c r="B54" s="170">
        <v>10</v>
      </c>
      <c r="C54" s="432"/>
      <c r="D54" s="187" t="s">
        <v>257</v>
      </c>
      <c r="E54" s="185" t="s">
        <v>27</v>
      </c>
      <c r="F54" s="179">
        <f>SUM(F51:F53)</f>
        <v>0</v>
      </c>
      <c r="G54" s="179">
        <f>SUM(G51:G53)</f>
        <v>0</v>
      </c>
      <c r="H54" s="179">
        <f>SUM(H51:H53)</f>
        <v>0</v>
      </c>
      <c r="J54" s="37"/>
      <c r="L54" s="95"/>
      <c r="M54" s="42"/>
      <c r="N54" s="28"/>
      <c r="O54" s="27"/>
    </row>
    <row r="55" spans="1:15" ht="17" x14ac:dyDescent="0.2">
      <c r="A55" s="27"/>
      <c r="B55" s="170">
        <v>11</v>
      </c>
      <c r="C55" s="432"/>
      <c r="D55" s="186" t="s">
        <v>309</v>
      </c>
      <c r="E55" s="185" t="s">
        <v>27</v>
      </c>
      <c r="F55" s="159"/>
      <c r="G55" s="159"/>
      <c r="H55" s="159"/>
      <c r="J55" s="37"/>
      <c r="L55" s="95"/>
      <c r="M55" s="42"/>
      <c r="N55" s="28"/>
      <c r="O55" s="27"/>
    </row>
    <row r="56" spans="1:15" ht="17" x14ac:dyDescent="0.2">
      <c r="A56" s="27"/>
      <c r="B56" s="170">
        <v>12</v>
      </c>
      <c r="C56" s="432"/>
      <c r="D56" s="186" t="s">
        <v>310</v>
      </c>
      <c r="E56" s="185" t="s">
        <v>27</v>
      </c>
      <c r="F56" s="159"/>
      <c r="G56" s="159"/>
      <c r="H56" s="159"/>
      <c r="J56" s="37"/>
      <c r="L56" s="95"/>
      <c r="M56" s="42"/>
      <c r="N56" s="28"/>
      <c r="O56" s="27"/>
    </row>
    <row r="57" spans="1:15" ht="17" x14ac:dyDescent="0.2">
      <c r="A57" s="27"/>
      <c r="B57" s="170">
        <v>13</v>
      </c>
      <c r="C57" s="432"/>
      <c r="D57" s="186" t="s">
        <v>311</v>
      </c>
      <c r="E57" s="185" t="s">
        <v>27</v>
      </c>
      <c r="F57" s="159"/>
      <c r="G57" s="159"/>
      <c r="H57" s="159"/>
      <c r="J57" s="37"/>
      <c r="L57" s="95"/>
      <c r="M57" s="42"/>
      <c r="N57" s="28"/>
      <c r="O57" s="27"/>
    </row>
    <row r="58" spans="1:15" ht="17" x14ac:dyDescent="0.2">
      <c r="A58" s="27"/>
      <c r="B58" s="170">
        <v>14</v>
      </c>
      <c r="C58" s="432"/>
      <c r="D58" s="186" t="s">
        <v>312</v>
      </c>
      <c r="E58" s="185" t="s">
        <v>27</v>
      </c>
      <c r="F58" s="159"/>
      <c r="G58" s="159"/>
      <c r="H58" s="159"/>
      <c r="J58" s="37"/>
      <c r="L58" s="95"/>
      <c r="M58" s="42"/>
      <c r="N58" s="28"/>
      <c r="O58" s="27"/>
    </row>
    <row r="59" spans="1:15" ht="17" x14ac:dyDescent="0.2">
      <c r="A59" s="27"/>
      <c r="B59" s="170">
        <v>15</v>
      </c>
      <c r="C59" s="432"/>
      <c r="D59" s="186" t="s">
        <v>313</v>
      </c>
      <c r="E59" s="185" t="s">
        <v>27</v>
      </c>
      <c r="F59" s="159"/>
      <c r="G59" s="159"/>
      <c r="H59" s="159"/>
      <c r="J59" s="37"/>
      <c r="L59" s="95"/>
      <c r="M59" s="42"/>
      <c r="N59" s="28"/>
      <c r="O59" s="27"/>
    </row>
    <row r="60" spans="1:15" ht="17" x14ac:dyDescent="0.2">
      <c r="A60" s="27"/>
      <c r="B60" s="170">
        <v>16</v>
      </c>
      <c r="C60" s="432"/>
      <c r="D60" s="186" t="s">
        <v>315</v>
      </c>
      <c r="E60" s="185" t="s">
        <v>27</v>
      </c>
      <c r="F60" s="159"/>
      <c r="G60" s="159"/>
      <c r="H60" s="159"/>
      <c r="J60" s="37"/>
      <c r="L60" s="95"/>
      <c r="M60" s="42"/>
      <c r="N60" s="28"/>
      <c r="O60" s="27"/>
    </row>
    <row r="61" spans="1:15" ht="17" x14ac:dyDescent="0.2">
      <c r="A61" s="27"/>
      <c r="B61" s="170">
        <v>17</v>
      </c>
      <c r="C61" s="432"/>
      <c r="D61" s="186" t="s">
        <v>314</v>
      </c>
      <c r="E61" s="185" t="s">
        <v>27</v>
      </c>
      <c r="F61" s="159"/>
      <c r="G61" s="159"/>
      <c r="H61" s="159"/>
      <c r="J61" s="37"/>
      <c r="L61" s="95"/>
      <c r="M61" s="42"/>
      <c r="N61" s="28"/>
      <c r="O61" s="27"/>
    </row>
    <row r="62" spans="1:15" ht="17" x14ac:dyDescent="0.2">
      <c r="A62" s="27"/>
      <c r="B62" s="170">
        <v>18</v>
      </c>
      <c r="C62" s="432"/>
      <c r="D62" s="187" t="s">
        <v>258</v>
      </c>
      <c r="E62" s="185" t="s">
        <v>27</v>
      </c>
      <c r="F62" s="179">
        <f>SUM(F55:F61)</f>
        <v>0</v>
      </c>
      <c r="G62" s="179">
        <f>SUM(G55:G61)</f>
        <v>0</v>
      </c>
      <c r="H62" s="179">
        <f>SUM(H55:H61)</f>
        <v>0</v>
      </c>
      <c r="J62" s="37"/>
      <c r="L62" s="95"/>
      <c r="M62" s="42"/>
      <c r="N62" s="28"/>
      <c r="O62" s="27"/>
    </row>
    <row r="63" spans="1:15" ht="17" x14ac:dyDescent="0.2">
      <c r="A63" s="27"/>
      <c r="B63" s="170">
        <v>19</v>
      </c>
      <c r="C63" s="432"/>
      <c r="D63" s="187" t="s">
        <v>259</v>
      </c>
      <c r="E63" s="185" t="s">
        <v>27</v>
      </c>
      <c r="F63" s="180"/>
      <c r="G63" s="180"/>
      <c r="H63" s="180"/>
      <c r="J63" s="37"/>
      <c r="L63" s="95"/>
      <c r="M63" s="42"/>
      <c r="N63" s="28"/>
      <c r="O63" s="27"/>
    </row>
    <row r="64" spans="1:15" ht="19" x14ac:dyDescent="0.2">
      <c r="A64" s="27"/>
      <c r="B64" s="170">
        <v>20</v>
      </c>
      <c r="C64" s="432" t="s">
        <v>114</v>
      </c>
      <c r="D64" s="184" t="s">
        <v>63</v>
      </c>
      <c r="E64" s="185" t="s">
        <v>260</v>
      </c>
      <c r="F64" s="178"/>
      <c r="G64" s="178"/>
      <c r="H64" s="178"/>
      <c r="J64" s="37"/>
      <c r="L64" s="95"/>
      <c r="M64" s="42"/>
      <c r="N64" s="28"/>
      <c r="O64" s="27"/>
    </row>
    <row r="65" spans="1:20" ht="19" x14ac:dyDescent="0.2">
      <c r="A65" s="27"/>
      <c r="B65" s="170">
        <v>21</v>
      </c>
      <c r="C65" s="432"/>
      <c r="D65" s="184" t="s">
        <v>54</v>
      </c>
      <c r="E65" s="185" t="s">
        <v>260</v>
      </c>
      <c r="F65" s="178"/>
      <c r="G65" s="178"/>
      <c r="H65" s="178"/>
      <c r="J65" s="37"/>
      <c r="L65" s="95"/>
      <c r="M65" s="42"/>
      <c r="N65" s="28"/>
      <c r="O65" s="27"/>
    </row>
    <row r="66" spans="1:20" ht="19" x14ac:dyDescent="0.2">
      <c r="A66" s="27"/>
      <c r="B66" s="170">
        <v>22</v>
      </c>
      <c r="C66" s="432"/>
      <c r="D66" s="184" t="s">
        <v>55</v>
      </c>
      <c r="E66" s="185" t="s">
        <v>260</v>
      </c>
      <c r="F66" s="178"/>
      <c r="G66" s="178"/>
      <c r="H66" s="178"/>
      <c r="J66" s="37"/>
      <c r="L66" s="95"/>
      <c r="M66" s="42"/>
      <c r="N66" s="28"/>
      <c r="O66" s="27"/>
    </row>
    <row r="67" spans="1:20" ht="19" x14ac:dyDescent="0.2">
      <c r="A67" s="27"/>
      <c r="B67" s="170">
        <v>23</v>
      </c>
      <c r="C67" s="432"/>
      <c r="D67" s="184" t="s">
        <v>261</v>
      </c>
      <c r="E67" s="185" t="s">
        <v>260</v>
      </c>
      <c r="F67" s="178"/>
      <c r="G67" s="178"/>
      <c r="H67" s="178"/>
      <c r="J67" s="37"/>
      <c r="L67" s="95"/>
      <c r="M67" s="42"/>
      <c r="N67" s="28"/>
      <c r="O67" s="27"/>
    </row>
    <row r="68" spans="1:20" ht="16" x14ac:dyDescent="0.2">
      <c r="A68" s="27"/>
      <c r="B68" s="170">
        <v>24</v>
      </c>
      <c r="C68" s="432" t="s">
        <v>107</v>
      </c>
      <c r="D68" s="184" t="s">
        <v>262</v>
      </c>
      <c r="E68" s="185" t="s">
        <v>14</v>
      </c>
      <c r="F68" s="178"/>
      <c r="G68" s="178"/>
      <c r="H68" s="178"/>
      <c r="J68" s="37"/>
      <c r="L68" s="95"/>
      <c r="M68" s="42"/>
      <c r="N68" s="28"/>
      <c r="O68" s="27"/>
    </row>
    <row r="69" spans="1:20" ht="16" x14ac:dyDescent="0.2">
      <c r="A69" s="27"/>
      <c r="B69" s="170">
        <v>25</v>
      </c>
      <c r="C69" s="432"/>
      <c r="D69" s="184" t="s">
        <v>263</v>
      </c>
      <c r="E69" s="185" t="s">
        <v>14</v>
      </c>
      <c r="F69" s="178"/>
      <c r="G69" s="178"/>
      <c r="H69" s="178"/>
      <c r="J69" s="37"/>
      <c r="L69" s="95"/>
      <c r="M69" s="42"/>
      <c r="N69" s="28"/>
      <c r="O69" s="27"/>
    </row>
    <row r="70" spans="1:20" ht="16" x14ac:dyDescent="0.2">
      <c r="A70" s="27"/>
      <c r="B70" s="170">
        <v>26</v>
      </c>
      <c r="C70" s="432"/>
      <c r="D70" s="184" t="s">
        <v>264</v>
      </c>
      <c r="E70" s="185" t="s">
        <v>14</v>
      </c>
      <c r="F70" s="178"/>
      <c r="G70" s="178"/>
      <c r="H70" s="178"/>
      <c r="J70" s="37"/>
      <c r="L70" s="95"/>
      <c r="M70" s="42"/>
      <c r="N70" s="28"/>
      <c r="O70" s="27"/>
    </row>
    <row r="71" spans="1:20" ht="16" x14ac:dyDescent="0.2">
      <c r="A71" s="27"/>
      <c r="B71" s="170">
        <v>27</v>
      </c>
      <c r="C71" s="432"/>
      <c r="D71" s="184" t="s">
        <v>265</v>
      </c>
      <c r="E71" s="185" t="s">
        <v>14</v>
      </c>
      <c r="F71" s="178"/>
      <c r="G71" s="178"/>
      <c r="H71" s="178"/>
      <c r="J71" s="37"/>
      <c r="L71" s="95"/>
      <c r="M71" s="42"/>
      <c r="N71" s="28"/>
      <c r="O71" s="27"/>
    </row>
    <row r="72" spans="1:20" ht="16" x14ac:dyDescent="0.2">
      <c r="A72" s="27"/>
      <c r="B72" s="170">
        <v>28</v>
      </c>
      <c r="C72" s="432"/>
      <c r="D72" s="184" t="s">
        <v>266</v>
      </c>
      <c r="E72" s="185" t="s">
        <v>14</v>
      </c>
      <c r="F72" s="178"/>
      <c r="G72" s="178"/>
      <c r="H72" s="178"/>
      <c r="J72" s="37"/>
      <c r="L72" s="95"/>
      <c r="M72" s="42"/>
      <c r="N72" s="28"/>
      <c r="O72" s="27"/>
    </row>
    <row r="73" spans="1:20" x14ac:dyDescent="0.2">
      <c r="A73" s="27"/>
      <c r="B73" s="27"/>
      <c r="D73" s="27"/>
      <c r="G73" s="27"/>
      <c r="H73" s="27"/>
      <c r="I73" s="29"/>
      <c r="K73" s="37"/>
      <c r="M73" s="95"/>
      <c r="N73" s="42"/>
      <c r="O73" s="28"/>
      <c r="P73" s="27"/>
    </row>
    <row r="74" spans="1:20" x14ac:dyDescent="0.2">
      <c r="A74" s="27"/>
      <c r="B74" s="27"/>
      <c r="D74" s="27"/>
      <c r="G74" s="27"/>
      <c r="H74" s="27"/>
      <c r="I74" s="29"/>
      <c r="K74" s="37"/>
      <c r="M74" s="95"/>
      <c r="N74" s="42"/>
      <c r="O74" s="28"/>
      <c r="P74" s="27"/>
    </row>
    <row r="75" spans="1:20" x14ac:dyDescent="0.2">
      <c r="A75" s="27"/>
      <c r="B75" s="27"/>
      <c r="D75" s="27"/>
      <c r="G75" s="27"/>
      <c r="H75" s="27"/>
      <c r="I75" s="29"/>
      <c r="K75" s="37"/>
      <c r="M75" s="95"/>
      <c r="N75" s="42"/>
      <c r="O75" s="28"/>
      <c r="P75" s="27"/>
    </row>
    <row r="76" spans="1:20" x14ac:dyDescent="0.2">
      <c r="A76" s="27"/>
      <c r="B76" s="27"/>
      <c r="D76" s="27"/>
      <c r="E76" s="27"/>
      <c r="F76" s="29"/>
      <c r="G76" s="29"/>
      <c r="H76" s="29"/>
      <c r="I76" s="30"/>
      <c r="J76" s="27"/>
      <c r="K76" s="27"/>
      <c r="L76" s="27"/>
      <c r="M76" s="27"/>
      <c r="N76" s="27"/>
      <c r="O76" s="27"/>
      <c r="P76" s="27"/>
    </row>
    <row r="77" spans="1:20" x14ac:dyDescent="0.2">
      <c r="A77" s="27"/>
      <c r="B77" s="38" t="s">
        <v>307</v>
      </c>
      <c r="C77" s="27"/>
      <c r="D77" s="27"/>
      <c r="E77" s="29"/>
      <c r="F77" s="29"/>
      <c r="G77" s="29"/>
      <c r="H77" s="30"/>
      <c r="I77" s="27"/>
      <c r="J77" s="27"/>
      <c r="K77" s="27"/>
      <c r="L77" s="27"/>
      <c r="M77" s="27"/>
      <c r="N77" s="27"/>
      <c r="O77" s="27"/>
    </row>
    <row r="78" spans="1:20" ht="30" x14ac:dyDescent="0.2">
      <c r="A78" s="27"/>
      <c r="B78" s="433" t="s">
        <v>96</v>
      </c>
      <c r="C78" s="433"/>
      <c r="D78" s="265" t="s">
        <v>5</v>
      </c>
      <c r="E78" s="265" t="s">
        <v>286</v>
      </c>
      <c r="H78" s="94"/>
      <c r="I78" s="27"/>
      <c r="K78" s="27"/>
      <c r="L78" s="42"/>
      <c r="M78" s="28"/>
      <c r="O78" s="42"/>
      <c r="P78" s="28"/>
      <c r="Q78" s="42"/>
      <c r="R78" s="28"/>
      <c r="S78" s="42"/>
      <c r="T78" s="42"/>
    </row>
    <row r="79" spans="1:20" x14ac:dyDescent="0.2">
      <c r="A79" s="27"/>
      <c r="B79" s="433"/>
      <c r="C79" s="433"/>
      <c r="D79" s="266" t="s">
        <v>62</v>
      </c>
      <c r="E79" s="266" t="s">
        <v>287</v>
      </c>
      <c r="J79" s="27"/>
      <c r="K79" s="27"/>
      <c r="L79" s="27"/>
      <c r="M79" s="27"/>
      <c r="N79" s="27"/>
      <c r="O79" s="27"/>
    </row>
    <row r="80" spans="1:20" x14ac:dyDescent="0.2">
      <c r="A80" s="27"/>
      <c r="B80" s="267" t="s">
        <v>64</v>
      </c>
      <c r="C80" s="268"/>
      <c r="D80" s="269">
        <v>9.8000000000000007</v>
      </c>
      <c r="E80" s="269">
        <v>0.504</v>
      </c>
      <c r="J80" s="27"/>
      <c r="K80" s="27"/>
      <c r="L80" s="27"/>
      <c r="M80" s="27"/>
      <c r="N80" s="27"/>
      <c r="O80" s="27"/>
    </row>
    <row r="81" spans="1:30" x14ac:dyDescent="0.2">
      <c r="A81" s="27"/>
      <c r="B81" s="267" t="s">
        <v>66</v>
      </c>
      <c r="C81" s="268"/>
      <c r="D81" s="269" t="str">
        <f>IF(C15&lt;&gt;0,INDEX(RefTab!$E$5:$E$55,MATCH('Plant-Level Reporting (2)'!C15,RefTab!$B$5:$B$55,0)),"")</f>
        <v/>
      </c>
      <c r="E81" s="269" t="str">
        <f>IF(C15&lt;&gt;0,INDEX(RefTab!$F$5:$F$55,MATCH('Plant-Level Reporting (2)'!C15,RefTab!$B$5:$B$55,0)),"")</f>
        <v/>
      </c>
      <c r="G81" s="46" t="s">
        <v>140</v>
      </c>
      <c r="H81" s="31"/>
      <c r="I81" s="32"/>
      <c r="J81" s="27"/>
      <c r="K81" s="27"/>
      <c r="L81" s="27"/>
      <c r="M81" s="27"/>
      <c r="N81" s="27"/>
    </row>
    <row r="82" spans="1:30" ht="15" customHeight="1" x14ac:dyDescent="0.2">
      <c r="A82" s="27"/>
      <c r="B82" s="267" t="s">
        <v>59</v>
      </c>
      <c r="C82" s="268"/>
      <c r="D82" s="270">
        <v>9.8000000000000007</v>
      </c>
      <c r="E82" s="289">
        <v>0.72699999999999998</v>
      </c>
      <c r="F82" s="53" t="s">
        <v>117</v>
      </c>
      <c r="G82" s="422"/>
      <c r="H82" s="422"/>
      <c r="I82" s="422"/>
      <c r="J82" s="422"/>
      <c r="K82" s="422"/>
      <c r="L82" s="422"/>
      <c r="M82" s="422"/>
      <c r="N82" s="27"/>
    </row>
    <row r="83" spans="1:30" x14ac:dyDescent="0.2">
      <c r="A83" s="27"/>
      <c r="B83" s="267" t="s">
        <v>60</v>
      </c>
      <c r="C83" s="268"/>
      <c r="D83" s="270">
        <v>9.8000000000000007</v>
      </c>
      <c r="E83" s="270">
        <v>0.79800000000000004</v>
      </c>
      <c r="F83" s="53" t="s">
        <v>116</v>
      </c>
      <c r="G83" s="422"/>
      <c r="H83" s="422"/>
      <c r="I83" s="422"/>
      <c r="J83" s="422"/>
      <c r="K83" s="422"/>
      <c r="L83" s="422"/>
      <c r="M83" s="422"/>
      <c r="N83" s="27"/>
    </row>
    <row r="84" spans="1:30" ht="46" customHeight="1" x14ac:dyDescent="0.2">
      <c r="A84" s="27"/>
      <c r="B84" s="27"/>
      <c r="C84" s="27"/>
      <c r="D84" s="27"/>
      <c r="E84" s="27"/>
      <c r="F84" s="27"/>
      <c r="G84" s="27"/>
      <c r="H84" s="27"/>
      <c r="I84" s="27"/>
      <c r="J84" s="27"/>
      <c r="K84" s="27"/>
      <c r="L84" s="27"/>
      <c r="M84" s="27"/>
      <c r="N84" s="27"/>
      <c r="O84" s="27"/>
      <c r="P84" s="27"/>
    </row>
    <row r="85" spans="1:30" x14ac:dyDescent="0.2">
      <c r="A85" s="27"/>
      <c r="B85" s="212" t="s">
        <v>305</v>
      </c>
      <c r="C85" s="38"/>
      <c r="D85" s="27"/>
      <c r="E85" s="27"/>
      <c r="F85" s="27"/>
      <c r="G85" s="27"/>
      <c r="H85" s="27"/>
      <c r="I85" s="27"/>
      <c r="J85" s="27"/>
      <c r="K85" s="27"/>
      <c r="L85" s="27"/>
      <c r="M85" s="27"/>
      <c r="N85" s="27"/>
      <c r="O85" s="27"/>
      <c r="P85" s="27"/>
      <c r="Q85" s="27"/>
    </row>
    <row r="86" spans="1:30" x14ac:dyDescent="0.2">
      <c r="A86" s="27"/>
      <c r="B86" s="412" t="s">
        <v>212</v>
      </c>
      <c r="C86" s="412" t="s">
        <v>92</v>
      </c>
      <c r="D86" s="421" t="s">
        <v>93</v>
      </c>
      <c r="E86" s="193"/>
      <c r="F86" s="420" t="s">
        <v>129</v>
      </c>
      <c r="G86" s="420"/>
      <c r="H86" s="423" t="s">
        <v>111</v>
      </c>
      <c r="I86" s="424"/>
      <c r="J86" s="424"/>
      <c r="K86" s="424"/>
      <c r="L86" s="424"/>
      <c r="M86" s="424"/>
      <c r="N86" s="425"/>
      <c r="O86" s="420" t="s">
        <v>118</v>
      </c>
      <c r="P86" s="420"/>
      <c r="Q86" s="420"/>
      <c r="R86" s="420"/>
      <c r="S86" s="434" t="s">
        <v>101</v>
      </c>
      <c r="T86" s="435"/>
      <c r="U86" s="436"/>
      <c r="V86" s="420" t="s">
        <v>128</v>
      </c>
      <c r="W86" s="420"/>
      <c r="X86" s="420"/>
      <c r="Y86" s="420"/>
      <c r="Z86" s="420"/>
      <c r="AA86" s="420"/>
      <c r="AB86" s="420"/>
      <c r="AC86" s="420"/>
      <c r="AD86" s="429" t="s">
        <v>301</v>
      </c>
    </row>
    <row r="87" spans="1:30" s="206" customFormat="1" ht="60" customHeight="1" x14ac:dyDescent="0.2">
      <c r="A87" s="203"/>
      <c r="B87" s="412"/>
      <c r="C87" s="412"/>
      <c r="D87" s="421"/>
      <c r="E87" s="204" t="s">
        <v>272</v>
      </c>
      <c r="F87" s="204" t="s">
        <v>284</v>
      </c>
      <c r="G87" s="204" t="s">
        <v>285</v>
      </c>
      <c r="H87" s="204" t="s">
        <v>108</v>
      </c>
      <c r="I87" s="204" t="s">
        <v>109</v>
      </c>
      <c r="J87" s="205" t="s">
        <v>4</v>
      </c>
      <c r="K87" s="205" t="s">
        <v>280</v>
      </c>
      <c r="L87" s="426" t="s">
        <v>101</v>
      </c>
      <c r="M87" s="427"/>
      <c r="N87" s="428"/>
      <c r="O87" s="204" t="s">
        <v>108</v>
      </c>
      <c r="P87" s="204" t="s">
        <v>109</v>
      </c>
      <c r="Q87" s="205" t="s">
        <v>4</v>
      </c>
      <c r="R87" s="205" t="s">
        <v>280</v>
      </c>
      <c r="S87" s="437"/>
      <c r="T87" s="438"/>
      <c r="U87" s="439"/>
      <c r="V87" s="204" t="s">
        <v>7</v>
      </c>
      <c r="W87" s="204" t="s">
        <v>8</v>
      </c>
      <c r="X87" s="220" t="s">
        <v>7</v>
      </c>
      <c r="Y87" s="220" t="s">
        <v>135</v>
      </c>
      <c r="Z87" s="220" t="s">
        <v>7</v>
      </c>
      <c r="AA87" s="220" t="s">
        <v>135</v>
      </c>
      <c r="AB87" s="204" t="s">
        <v>9</v>
      </c>
      <c r="AC87" s="204" t="s">
        <v>10</v>
      </c>
      <c r="AD87" s="430"/>
    </row>
    <row r="88" spans="1:30" ht="15" x14ac:dyDescent="0.2">
      <c r="A88" s="189"/>
      <c r="B88" s="412"/>
      <c r="C88" s="412"/>
      <c r="D88" s="421"/>
      <c r="E88" s="201"/>
      <c r="F88" s="202"/>
      <c r="G88" s="202"/>
      <c r="H88" s="194" t="s">
        <v>12</v>
      </c>
      <c r="I88" s="194" t="s">
        <v>12</v>
      </c>
      <c r="J88" s="194" t="s">
        <v>11</v>
      </c>
      <c r="K88" s="194" t="s">
        <v>281</v>
      </c>
      <c r="L88" s="194" t="s">
        <v>282</v>
      </c>
      <c r="M88" s="194" t="s">
        <v>283</v>
      </c>
      <c r="N88" s="194" t="s">
        <v>281</v>
      </c>
      <c r="O88" s="194" t="s">
        <v>12</v>
      </c>
      <c r="P88" s="194" t="s">
        <v>12</v>
      </c>
      <c r="Q88" s="194" t="s">
        <v>113</v>
      </c>
      <c r="R88" s="194" t="s">
        <v>279</v>
      </c>
      <c r="S88" s="219" t="s">
        <v>282</v>
      </c>
      <c r="T88" s="219" t="s">
        <v>283</v>
      </c>
      <c r="U88" s="194" t="s">
        <v>279</v>
      </c>
      <c r="V88" s="194" t="s">
        <v>276</v>
      </c>
      <c r="W88" s="194" t="s">
        <v>276</v>
      </c>
      <c r="X88" s="219" t="s">
        <v>277</v>
      </c>
      <c r="Y88" s="219" t="s">
        <v>277</v>
      </c>
      <c r="Z88" s="219" t="s">
        <v>278</v>
      </c>
      <c r="AA88" s="219" t="s">
        <v>278</v>
      </c>
      <c r="AB88" s="194" t="s">
        <v>276</v>
      </c>
      <c r="AC88" s="194" t="s">
        <v>276</v>
      </c>
      <c r="AD88" s="430"/>
    </row>
    <row r="89" spans="1:30" ht="15" x14ac:dyDescent="0.2">
      <c r="A89" s="33"/>
      <c r="B89" s="248" t="s">
        <v>193</v>
      </c>
      <c r="C89" s="207" t="s">
        <v>13</v>
      </c>
      <c r="D89" s="208" t="s">
        <v>14</v>
      </c>
      <c r="E89" s="199"/>
      <c r="F89" s="199"/>
      <c r="G89" s="200"/>
      <c r="H89" s="197"/>
      <c r="I89" s="113"/>
      <c r="J89" s="115">
        <v>0.01</v>
      </c>
      <c r="K89" s="117">
        <f>ROUND(IF(J89&gt;0,44.01*J89/12.011,44.01*0.01/12.011),3)</f>
        <v>3.6999999999999998E-2</v>
      </c>
      <c r="L89" s="120" t="s">
        <v>95</v>
      </c>
      <c r="M89" s="120" t="s">
        <v>95</v>
      </c>
      <c r="N89" s="122"/>
      <c r="O89" s="130"/>
      <c r="P89" s="130"/>
      <c r="Q89" s="130"/>
      <c r="R89" s="198" t="str">
        <f>IF(Q89&gt;0,ROUND(44.01*Q89/12.011,6),"na")</f>
        <v>na</v>
      </c>
      <c r="S89" s="195"/>
      <c r="T89" s="195" t="s">
        <v>95</v>
      </c>
      <c r="U89" s="196"/>
      <c r="V89" s="190">
        <f t="shared" ref="V89:V117" si="0">ROUND(IF($R89&lt;&gt;"na",$R89,$K89)*($F89-$G89),6)</f>
        <v>0</v>
      </c>
      <c r="W89" s="191"/>
      <c r="X89" s="271">
        <f>IFERROR(ROUND(IF($S89&lt;&gt;"",$S89,$L89)*($E89+$F89-$G89),6),0)</f>
        <v>0</v>
      </c>
      <c r="Y89" s="272"/>
      <c r="Z89" s="271">
        <f>IFERROR(ROUND(IF($T89&lt;&gt;"",$T89,$M89)*($E89+$F89-$G89),6),0)</f>
        <v>0</v>
      </c>
      <c r="AA89" s="272"/>
      <c r="AB89" s="191"/>
      <c r="AC89" s="192">
        <f t="shared" ref="AC89:AC143" si="1">ROUND(IF($U89&lt;&gt;"",$U89,$N89)*($F89-$G89),6)</f>
        <v>0</v>
      </c>
      <c r="AD89" s="249"/>
    </row>
    <row r="90" spans="1:30" ht="15" x14ac:dyDescent="0.2">
      <c r="A90" s="33"/>
      <c r="B90" s="250" t="s">
        <v>210</v>
      </c>
      <c r="C90" s="210" t="s">
        <v>15</v>
      </c>
      <c r="D90" s="211" t="s">
        <v>14</v>
      </c>
      <c r="E90" s="199"/>
      <c r="F90" s="154"/>
      <c r="G90" s="155"/>
      <c r="H90" s="51">
        <v>32.200000000000003</v>
      </c>
      <c r="I90" s="50"/>
      <c r="J90" s="50">
        <f>ROUND(3.059*12.011/44.01,3)</f>
        <v>0.83499999999999996</v>
      </c>
      <c r="K90" s="48">
        <f>ROUND(IF(J90&gt;0,44.01*J90/12.011,IF(H90&gt;0, H90, 32.2)*0.095),3)</f>
        <v>3.06</v>
      </c>
      <c r="L90" s="87">
        <v>2.8199999999999997E-4</v>
      </c>
      <c r="M90" s="87">
        <v>4.2000000000000004E-5</v>
      </c>
      <c r="N90" s="86">
        <v>0.37</v>
      </c>
      <c r="O90" s="130"/>
      <c r="P90" s="130"/>
      <c r="Q90" s="130"/>
      <c r="R90" s="56" t="str">
        <f>IF(Q90&gt;0,ROUND(44.01*Q90/12.011,6),IF(SUM(O90,P90)&gt;0, ROUND(SUM(O90,P90)*0.095,6),"na"))</f>
        <v>na</v>
      </c>
      <c r="S90" s="273"/>
      <c r="T90" s="273"/>
      <c r="U90" s="47"/>
      <c r="V90" s="43">
        <f t="shared" si="0"/>
        <v>0</v>
      </c>
      <c r="W90" s="43"/>
      <c r="X90" s="273">
        <f t="shared" ref="X90:X157" si="2">IFERROR(ROUND(IF($S90&lt;&gt;"",$S90,$L90)*($E90+$F90-$G90),6),0)</f>
        <v>0</v>
      </c>
      <c r="Y90" s="273"/>
      <c r="Z90" s="273">
        <f t="shared" ref="Z90:Z157" si="3">IFERROR(ROUND(IF($T90&lt;&gt;"",$T90,$M90)*($E90+$F90-$G90),6),0)</f>
        <v>0</v>
      </c>
      <c r="AA90" s="273"/>
      <c r="AB90" s="43"/>
      <c r="AC90" s="90">
        <f t="shared" si="1"/>
        <v>0</v>
      </c>
      <c r="AD90" s="249"/>
    </row>
    <row r="91" spans="1:30" ht="15" x14ac:dyDescent="0.2">
      <c r="A91" s="33"/>
      <c r="B91" s="250" t="s">
        <v>210</v>
      </c>
      <c r="C91" s="210" t="s">
        <v>16</v>
      </c>
      <c r="D91" s="211" t="s">
        <v>14</v>
      </c>
      <c r="E91" s="199"/>
      <c r="F91" s="154"/>
      <c r="G91" s="155"/>
      <c r="H91" s="51">
        <v>31.1</v>
      </c>
      <c r="I91" s="50"/>
      <c r="J91" s="50">
        <f>ROUND(2.955*12.011/44.01,3)</f>
        <v>0.80600000000000005</v>
      </c>
      <c r="K91" s="48">
        <f>ROUND(IF(J91&gt;0,44.01*J91/12.011,IF(H91&gt;0, H91,31.1)*0.095),3)</f>
        <v>2.9529999999999998</v>
      </c>
      <c r="L91" s="87">
        <v>2.8199999999999997E-4</v>
      </c>
      <c r="M91" s="87">
        <v>3.8999999999999999E-5</v>
      </c>
      <c r="N91" s="86">
        <v>0.37</v>
      </c>
      <c r="O91" s="130"/>
      <c r="P91" s="130"/>
      <c r="Q91" s="130"/>
      <c r="R91" s="56" t="str">
        <f>IF(Q91&gt;0,ROUND(44.01*Q91/12.011,6),IF(SUM(O91,P91)&gt;0, ROUND(SUM(O91,P91)*0.095,6),"na"))</f>
        <v>na</v>
      </c>
      <c r="S91" s="273"/>
      <c r="T91" s="273"/>
      <c r="U91" s="47"/>
      <c r="V91" s="43">
        <f t="shared" si="0"/>
        <v>0</v>
      </c>
      <c r="W91" s="43"/>
      <c r="X91" s="273">
        <f t="shared" si="2"/>
        <v>0</v>
      </c>
      <c r="Y91" s="273"/>
      <c r="Z91" s="273">
        <f t="shared" si="3"/>
        <v>0</v>
      </c>
      <c r="AA91" s="273"/>
      <c r="AB91" s="43"/>
      <c r="AC91" s="90">
        <f t="shared" si="1"/>
        <v>0</v>
      </c>
      <c r="AD91" s="249"/>
    </row>
    <row r="92" spans="1:30" ht="15" x14ac:dyDescent="0.2">
      <c r="A92" s="33"/>
      <c r="B92" s="250" t="s">
        <v>210</v>
      </c>
      <c r="C92" s="210" t="s">
        <v>17</v>
      </c>
      <c r="D92" s="211" t="s">
        <v>14</v>
      </c>
      <c r="E92" s="199"/>
      <c r="F92" s="154"/>
      <c r="G92" s="155"/>
      <c r="H92" s="51">
        <v>29.3</v>
      </c>
      <c r="I92" s="50"/>
      <c r="J92" s="50">
        <f>ROUND(2.784*12.011/44.01,3)</f>
        <v>0.76</v>
      </c>
      <c r="K92" s="48">
        <f>ROUND(IF(J92&gt;0,44.01*J92/12.011,IF(H92&gt;0, H92,29.3)*0.095),3)</f>
        <v>2.7850000000000001</v>
      </c>
      <c r="L92" s="87">
        <v>2.5799999999999998E-4</v>
      </c>
      <c r="M92" s="87">
        <v>3.8999999999999999E-5</v>
      </c>
      <c r="N92" s="86">
        <v>0.37</v>
      </c>
      <c r="O92" s="130"/>
      <c r="P92" s="130"/>
      <c r="Q92" s="130"/>
      <c r="R92" s="56" t="str">
        <f>IF(Q92&gt;0,ROUND(44.01*Q92/12.011,6),IF(SUM(O92,P92)&gt;0, ROUND(SUM(O92,P92)*0.095,6),"na"))</f>
        <v>na</v>
      </c>
      <c r="S92" s="273"/>
      <c r="T92" s="273"/>
      <c r="U92" s="47"/>
      <c r="V92" s="43">
        <f t="shared" si="0"/>
        <v>0</v>
      </c>
      <c r="W92" s="43"/>
      <c r="X92" s="273">
        <f>IFERROR(ROUND(IF($S92&lt;&gt;"",$S92,$L92)*($E92+$F92-$G92),6),0)</f>
        <v>0</v>
      </c>
      <c r="Y92" s="273"/>
      <c r="Z92" s="273">
        <f t="shared" si="3"/>
        <v>0</v>
      </c>
      <c r="AA92" s="273"/>
      <c r="AB92" s="43"/>
      <c r="AC92" s="90">
        <f t="shared" si="1"/>
        <v>0</v>
      </c>
      <c r="AD92" s="249"/>
    </row>
    <row r="93" spans="1:30" ht="15" x14ac:dyDescent="0.2">
      <c r="A93" s="33"/>
      <c r="B93" s="250" t="s">
        <v>210</v>
      </c>
      <c r="C93" s="210" t="s">
        <v>18</v>
      </c>
      <c r="D93" s="211" t="s">
        <v>14</v>
      </c>
      <c r="E93" s="199"/>
      <c r="F93" s="154"/>
      <c r="G93" s="155"/>
      <c r="H93" s="51">
        <v>25.9</v>
      </c>
      <c r="I93" s="50"/>
      <c r="J93" s="50">
        <f>ROUND(2.461*12.011/44.01,3)</f>
        <v>0.67200000000000004</v>
      </c>
      <c r="K93" s="48">
        <f>ROUND(IF(J93&gt;0,44.01*J93/12.011,IF(H93&gt;0, H93,25.9)*0.095),3)</f>
        <v>2.4620000000000002</v>
      </c>
      <c r="L93" s="87">
        <v>2.5799999999999998E-4</v>
      </c>
      <c r="M93" s="87">
        <v>3.8999999999999999E-5</v>
      </c>
      <c r="N93" s="86">
        <v>0.37</v>
      </c>
      <c r="O93" s="130"/>
      <c r="P93" s="130"/>
      <c r="Q93" s="130"/>
      <c r="R93" s="56" t="str">
        <f>IF(Q93&gt;0,ROUND(44.01*Q93/12.011,6),IF(SUM(O93,P93)&gt;0, ROUND(SUM(O93,P93)*0.095,6),"na"))</f>
        <v>na</v>
      </c>
      <c r="S93" s="273"/>
      <c r="T93" s="273"/>
      <c r="U93" s="47"/>
      <c r="V93" s="43">
        <f t="shared" si="0"/>
        <v>0</v>
      </c>
      <c r="W93" s="43"/>
      <c r="X93" s="273">
        <f t="shared" si="2"/>
        <v>0</v>
      </c>
      <c r="Y93" s="273"/>
      <c r="Z93" s="273">
        <f t="shared" si="3"/>
        <v>0</v>
      </c>
      <c r="AA93" s="273"/>
      <c r="AB93" s="43"/>
      <c r="AC93" s="90">
        <f t="shared" si="1"/>
        <v>0</v>
      </c>
      <c r="AD93" s="249"/>
    </row>
    <row r="94" spans="1:30" ht="15" x14ac:dyDescent="0.2">
      <c r="A94" s="33"/>
      <c r="B94" s="250" t="s">
        <v>210</v>
      </c>
      <c r="C94" s="210" t="s">
        <v>19</v>
      </c>
      <c r="D94" s="211" t="s">
        <v>14</v>
      </c>
      <c r="E94" s="199"/>
      <c r="F94" s="154"/>
      <c r="G94" s="155"/>
      <c r="H94" s="51">
        <v>30.1</v>
      </c>
      <c r="I94" s="50"/>
      <c r="J94" s="50">
        <f>ROUND(3.257*12.011/44.01,3)</f>
        <v>0.88900000000000001</v>
      </c>
      <c r="K94" s="48">
        <f>ROUND(IF(J94&gt;0,44.01*J94/12.011,IF(H94&gt;0, H94,30.1)*0.1082),3)</f>
        <v>3.2570000000000001</v>
      </c>
      <c r="L94" s="87">
        <v>2.5799999999999998E-4</v>
      </c>
      <c r="M94" s="87">
        <v>3.8999999999999999E-5</v>
      </c>
      <c r="N94" s="86">
        <v>0.37</v>
      </c>
      <c r="O94" s="130"/>
      <c r="P94" s="130"/>
      <c r="Q94" s="130"/>
      <c r="R94" s="56" t="str">
        <f>IF(Q94&gt;0,ROUND(44.01*Q94/12.011,6),IF(SUM(O94,P94)&gt;0, ROUND(SUM(O94,P94)*0.1082,6),"na"))</f>
        <v>na</v>
      </c>
      <c r="S94" s="273"/>
      <c r="T94" s="273"/>
      <c r="U94" s="47"/>
      <c r="V94" s="43">
        <f t="shared" si="0"/>
        <v>0</v>
      </c>
      <c r="W94" s="43"/>
      <c r="X94" s="273">
        <f t="shared" si="2"/>
        <v>0</v>
      </c>
      <c r="Y94" s="273"/>
      <c r="Z94" s="273">
        <f t="shared" si="3"/>
        <v>0</v>
      </c>
      <c r="AA94" s="273"/>
      <c r="AB94" s="43"/>
      <c r="AC94" s="90">
        <f t="shared" si="1"/>
        <v>0</v>
      </c>
      <c r="AD94" s="249"/>
    </row>
    <row r="95" spans="1:30" ht="15" x14ac:dyDescent="0.2">
      <c r="A95" s="33"/>
      <c r="B95" s="250" t="s">
        <v>210</v>
      </c>
      <c r="C95" s="210" t="s">
        <v>20</v>
      </c>
      <c r="D95" s="211" t="s">
        <v>14</v>
      </c>
      <c r="E95" s="199"/>
      <c r="F95" s="154"/>
      <c r="G95" s="155"/>
      <c r="H95" s="51">
        <v>31.1</v>
      </c>
      <c r="I95" s="50"/>
      <c r="J95" s="50">
        <f>ROUND(2.955*12.011/44.01,3)</f>
        <v>0.80600000000000005</v>
      </c>
      <c r="K95" s="48">
        <f>ROUND(IF(J95&gt;0,44.01*J95/12.011,IF(H95&gt;0, H95,31.1)*0.095),3)</f>
        <v>2.9529999999999998</v>
      </c>
      <c r="L95" s="87">
        <v>2.5799999999999998E-4</v>
      </c>
      <c r="M95" s="87">
        <v>3.8999999999999999E-5</v>
      </c>
      <c r="N95" s="86">
        <v>0.37</v>
      </c>
      <c r="O95" s="130"/>
      <c r="P95" s="130"/>
      <c r="Q95" s="130"/>
      <c r="R95" s="56" t="str">
        <f>IF(Q95&gt;0,ROUND(44.01*Q95/12.011,6),IF(SUM(O95,P95)&gt;0, ROUND(SUM(O95,P95)*0.095,6),"na"))</f>
        <v>na</v>
      </c>
      <c r="S95" s="273"/>
      <c r="T95" s="273"/>
      <c r="U95" s="47"/>
      <c r="V95" s="43">
        <f t="shared" si="0"/>
        <v>0</v>
      </c>
      <c r="W95" s="43"/>
      <c r="X95" s="273">
        <f t="shared" si="2"/>
        <v>0</v>
      </c>
      <c r="Y95" s="273"/>
      <c r="Z95" s="273">
        <f t="shared" si="3"/>
        <v>0</v>
      </c>
      <c r="AA95" s="273"/>
      <c r="AB95" s="43"/>
      <c r="AC95" s="90">
        <f t="shared" si="1"/>
        <v>0</v>
      </c>
      <c r="AD95" s="249"/>
    </row>
    <row r="96" spans="1:30" ht="15" x14ac:dyDescent="0.2">
      <c r="A96" s="188"/>
      <c r="B96" s="250" t="s">
        <v>210</v>
      </c>
      <c r="C96" s="210" t="s">
        <v>142</v>
      </c>
      <c r="D96" s="211" t="s">
        <v>14</v>
      </c>
      <c r="E96" s="199"/>
      <c r="F96" s="154"/>
      <c r="G96" s="155"/>
      <c r="H96" s="51">
        <v>26.7</v>
      </c>
      <c r="I96" s="50"/>
      <c r="J96" s="50">
        <f>K96*12/44</f>
        <v>0.71563636363636363</v>
      </c>
      <c r="K96" s="48">
        <v>2.6240000000000001</v>
      </c>
      <c r="L96" s="87">
        <v>2.8199999999999997E-4</v>
      </c>
      <c r="M96" s="87">
        <v>4.2000000000000004E-5</v>
      </c>
      <c r="N96" s="86">
        <v>0.37</v>
      </c>
      <c r="O96" s="130"/>
      <c r="P96" s="130"/>
      <c r="Q96" s="130"/>
      <c r="R96" s="56" t="str">
        <f>IF(Q96&gt;0,ROUND(44.01*Q96/12.011,6),IF(SUM(O96,P96)&gt;0, ROUND(SUM(O96,P96)*0.095,6),"na"))</f>
        <v>na</v>
      </c>
      <c r="S96" s="273"/>
      <c r="T96" s="273"/>
      <c r="U96" s="47"/>
      <c r="V96" s="43">
        <f t="shared" si="0"/>
        <v>0</v>
      </c>
      <c r="W96" s="43"/>
      <c r="X96" s="273">
        <f t="shared" si="2"/>
        <v>0</v>
      </c>
      <c r="Y96" s="273"/>
      <c r="Z96" s="273">
        <f t="shared" si="3"/>
        <v>0</v>
      </c>
      <c r="AA96" s="273"/>
      <c r="AB96" s="43"/>
      <c r="AC96" s="90">
        <f t="shared" si="1"/>
        <v>0</v>
      </c>
      <c r="AD96" s="249"/>
    </row>
    <row r="97" spans="1:30" ht="16" x14ac:dyDescent="0.2">
      <c r="B97" s="250" t="s">
        <v>210</v>
      </c>
      <c r="C97" s="210" t="s">
        <v>21</v>
      </c>
      <c r="D97" s="211" t="s">
        <v>14</v>
      </c>
      <c r="E97" s="179">
        <f>F45</f>
        <v>0</v>
      </c>
      <c r="F97" s="154"/>
      <c r="G97" s="155"/>
      <c r="H97" s="51">
        <v>30.1</v>
      </c>
      <c r="I97" s="50">
        <v>5.7191117260400208</v>
      </c>
      <c r="J97" s="50">
        <f>ROUND(3.257*12.011/44.01,3)</f>
        <v>0.88900000000000001</v>
      </c>
      <c r="K97" s="48">
        <f>ROUND(IF(J97&gt;0,44.01*J97/12.011,IF(H97&gt;0, H97,30.1)*0.1082),3)</f>
        <v>3.2570000000000001</v>
      </c>
      <c r="L97" s="87">
        <v>5.9000000000000007E-3</v>
      </c>
      <c r="M97" s="87">
        <v>1.18E-4</v>
      </c>
      <c r="N97" s="57">
        <v>0.73599999999999999</v>
      </c>
      <c r="O97" s="130"/>
      <c r="P97" s="130"/>
      <c r="Q97" s="130"/>
      <c r="R97" s="56" t="str">
        <f>IF(Q97&gt;0,ROUND(44.01*Q97/12.011,6),IF(SUM(O97,P97)&gt;0, ROUND(SUM(O97,P97)*0.1082,6),"na"))</f>
        <v>na</v>
      </c>
      <c r="S97" s="273"/>
      <c r="T97" s="273"/>
      <c r="U97" s="47"/>
      <c r="V97" s="43">
        <f t="shared" si="0"/>
        <v>0</v>
      </c>
      <c r="W97" s="43"/>
      <c r="X97" s="273">
        <f t="shared" si="2"/>
        <v>0</v>
      </c>
      <c r="Y97" s="273"/>
      <c r="Z97" s="273">
        <f t="shared" si="3"/>
        <v>0</v>
      </c>
      <c r="AA97" s="273"/>
      <c r="AB97" s="43"/>
      <c r="AC97" s="44">
        <f t="shared" si="1"/>
        <v>0</v>
      </c>
      <c r="AD97" s="249"/>
    </row>
    <row r="98" spans="1:30" ht="15" x14ac:dyDescent="0.2">
      <c r="A98" s="33"/>
      <c r="B98" s="250" t="s">
        <v>210</v>
      </c>
      <c r="C98" s="210" t="s">
        <v>22</v>
      </c>
      <c r="D98" s="211" t="s">
        <v>14</v>
      </c>
      <c r="E98" s="199"/>
      <c r="F98" s="154"/>
      <c r="G98" s="155"/>
      <c r="H98" s="49">
        <v>18.8</v>
      </c>
      <c r="I98" s="48"/>
      <c r="J98" s="50"/>
      <c r="K98" s="48"/>
      <c r="L98" s="87">
        <v>9.800000000000001E-5</v>
      </c>
      <c r="M98" s="87">
        <v>2.0000000000000002E-5</v>
      </c>
      <c r="N98" s="57"/>
      <c r="O98" s="130"/>
      <c r="P98" s="130"/>
      <c r="Q98" s="130"/>
      <c r="R98" s="57"/>
      <c r="S98" s="273"/>
      <c r="T98" s="273"/>
      <c r="U98" s="47"/>
      <c r="V98" s="43">
        <f t="shared" si="0"/>
        <v>0</v>
      </c>
      <c r="W98" s="43"/>
      <c r="X98" s="273">
        <f t="shared" si="2"/>
        <v>0</v>
      </c>
      <c r="Y98" s="273"/>
      <c r="Z98" s="273">
        <f t="shared" si="3"/>
        <v>0</v>
      </c>
      <c r="AA98" s="273"/>
      <c r="AB98" s="43"/>
      <c r="AC98" s="44">
        <f t="shared" si="1"/>
        <v>0</v>
      </c>
      <c r="AD98" s="249"/>
    </row>
    <row r="99" spans="1:30" ht="15" x14ac:dyDescent="0.2">
      <c r="A99" s="35"/>
      <c r="B99" s="250" t="s">
        <v>210</v>
      </c>
      <c r="C99" s="210" t="s">
        <v>72</v>
      </c>
      <c r="D99" s="211" t="s">
        <v>27</v>
      </c>
      <c r="E99" s="199"/>
      <c r="F99" s="154"/>
      <c r="G99" s="155"/>
      <c r="H99" s="49">
        <v>31.934999999999999</v>
      </c>
      <c r="I99" s="48"/>
      <c r="J99" s="50">
        <v>0.85</v>
      </c>
      <c r="K99" s="48">
        <f>ROUND(IF(J99&gt;0,44.01*J99/12.011,IF(H99&gt;0, H99,31.935)*0.098),3)</f>
        <v>3.1150000000000002</v>
      </c>
      <c r="L99" s="87">
        <v>2.6999999999999999E-5</v>
      </c>
      <c r="M99" s="87">
        <v>4.0000000000000003E-5</v>
      </c>
      <c r="N99" s="57"/>
      <c r="O99" s="130"/>
      <c r="P99" s="130"/>
      <c r="Q99" s="130"/>
      <c r="R99" s="56" t="str">
        <f>IF(Q99&gt;0,ROUND(44.01*Q99/12.011,6),IF(SUM(O99,P99)&gt;0, ROUND(SUM(O99,P99)*0.098,6),"na"))</f>
        <v>na</v>
      </c>
      <c r="S99" s="273"/>
      <c r="T99" s="273"/>
      <c r="U99" s="47"/>
      <c r="V99" s="43">
        <f t="shared" si="0"/>
        <v>0</v>
      </c>
      <c r="W99" s="43"/>
      <c r="X99" s="273">
        <f t="shared" si="2"/>
        <v>0</v>
      </c>
      <c r="Y99" s="273"/>
      <c r="Z99" s="273">
        <f t="shared" si="3"/>
        <v>0</v>
      </c>
      <c r="AA99" s="273"/>
      <c r="AB99" s="43"/>
      <c r="AC99" s="44">
        <f t="shared" si="1"/>
        <v>0</v>
      </c>
      <c r="AD99" s="249"/>
    </row>
    <row r="100" spans="1:30" ht="15" x14ac:dyDescent="0.2">
      <c r="A100" s="35"/>
      <c r="B100" s="250" t="s">
        <v>193</v>
      </c>
      <c r="C100" s="210" t="s">
        <v>89</v>
      </c>
      <c r="D100" s="211" t="s">
        <v>27</v>
      </c>
      <c r="E100" s="199"/>
      <c r="F100" s="154"/>
      <c r="G100" s="155"/>
      <c r="H100" s="49">
        <v>46</v>
      </c>
      <c r="I100" s="48"/>
      <c r="J100" s="58"/>
      <c r="K100" s="48">
        <f>IF(H100&gt;0,ROUND(H100*0.052521739,3),ROUND(2.4158,3))</f>
        <v>2.4159999999999999</v>
      </c>
      <c r="L100" s="87" t="s">
        <v>95</v>
      </c>
      <c r="M100" s="87" t="s">
        <v>95</v>
      </c>
      <c r="N100" s="57"/>
      <c r="O100" s="130"/>
      <c r="P100" s="130"/>
      <c r="Q100" s="130"/>
      <c r="R100" s="56" t="str">
        <f>IF(SUM(O100,P100)&gt;0,ROUND(SUM(O100,P100)*0.052521739,6),"na")</f>
        <v>na</v>
      </c>
      <c r="S100" s="273"/>
      <c r="T100" s="273"/>
      <c r="U100" s="47"/>
      <c r="V100" s="43">
        <f t="shared" si="0"/>
        <v>0</v>
      </c>
      <c r="W100" s="43"/>
      <c r="X100" s="273">
        <f t="shared" si="2"/>
        <v>0</v>
      </c>
      <c r="Y100" s="273"/>
      <c r="Z100" s="273">
        <f t="shared" si="3"/>
        <v>0</v>
      </c>
      <c r="AA100" s="273"/>
      <c r="AB100" s="43"/>
      <c r="AC100" s="44">
        <f t="shared" si="1"/>
        <v>0</v>
      </c>
      <c r="AD100" s="249"/>
    </row>
    <row r="101" spans="1:30" ht="15" x14ac:dyDescent="0.2">
      <c r="A101" s="35"/>
      <c r="B101" s="250" t="s">
        <v>193</v>
      </c>
      <c r="C101" s="210" t="s">
        <v>88</v>
      </c>
      <c r="D101" s="211" t="s">
        <v>27</v>
      </c>
      <c r="E101" s="199"/>
      <c r="F101" s="154"/>
      <c r="G101" s="155"/>
      <c r="H101" s="49">
        <v>35</v>
      </c>
      <c r="I101" s="48"/>
      <c r="J101" s="58"/>
      <c r="K101" s="48">
        <f>IF(H101&gt;0,ROUND(H101*0.062828571,3),ROUND(2.1985,3))</f>
        <v>2.1989999999999998</v>
      </c>
      <c r="L101" s="87" t="s">
        <v>95</v>
      </c>
      <c r="M101" s="87" t="s">
        <v>95</v>
      </c>
      <c r="N101" s="57"/>
      <c r="O101" s="130"/>
      <c r="P101" s="130"/>
      <c r="Q101" s="130"/>
      <c r="R101" s="56" t="str">
        <f>IF(SUM(O101,P101)&gt;0,ROUND(SUM(O101,P101)*0.062828571,6),"na")</f>
        <v>na</v>
      </c>
      <c r="S101" s="273"/>
      <c r="T101" s="273"/>
      <c r="U101" s="47"/>
      <c r="V101" s="43">
        <f t="shared" si="0"/>
        <v>0</v>
      </c>
      <c r="W101" s="43"/>
      <c r="X101" s="273">
        <f t="shared" si="2"/>
        <v>0</v>
      </c>
      <c r="Y101" s="273"/>
      <c r="Z101" s="273">
        <f t="shared" si="3"/>
        <v>0</v>
      </c>
      <c r="AA101" s="273"/>
      <c r="AB101" s="43"/>
      <c r="AC101" s="44">
        <f t="shared" si="1"/>
        <v>0</v>
      </c>
      <c r="AD101" s="249"/>
    </row>
    <row r="102" spans="1:30" ht="17" x14ac:dyDescent="0.2">
      <c r="A102" s="35"/>
      <c r="B102" s="250" t="s">
        <v>197</v>
      </c>
      <c r="C102" s="210" t="s">
        <v>23</v>
      </c>
      <c r="D102" s="211" t="s">
        <v>112</v>
      </c>
      <c r="E102" s="199"/>
      <c r="F102" s="154"/>
      <c r="G102" s="155"/>
      <c r="H102" s="49">
        <v>37.700000000000003</v>
      </c>
      <c r="I102" s="48"/>
      <c r="J102" s="58"/>
      <c r="K102" s="48">
        <f>IF(H102&gt;0,ROUND(H102*0.0771,3),ROUND(37.7*0.0771,3))</f>
        <v>2.907</v>
      </c>
      <c r="L102" s="87">
        <v>1.13E-4</v>
      </c>
      <c r="M102" s="87">
        <v>2.3E-5</v>
      </c>
      <c r="N102" s="57">
        <f>ROUND(IF(N103&gt;0,N103,0.247)*K102/K103,3)</f>
        <v>0.27600000000000002</v>
      </c>
      <c r="O102" s="130"/>
      <c r="P102" s="130"/>
      <c r="Q102" s="130"/>
      <c r="R102" s="56" t="str">
        <f>IF(SUM(O102,P102)&gt;0,ROUND(SUM(O102,P102)*0.0771,6),"na")</f>
        <v>na</v>
      </c>
      <c r="S102" s="273"/>
      <c r="T102" s="273"/>
      <c r="U102" s="47"/>
      <c r="V102" s="43">
        <f t="shared" si="0"/>
        <v>0</v>
      </c>
      <c r="W102" s="43"/>
      <c r="X102" s="273">
        <f t="shared" si="2"/>
        <v>0</v>
      </c>
      <c r="Y102" s="273"/>
      <c r="Z102" s="273">
        <f t="shared" si="3"/>
        <v>0</v>
      </c>
      <c r="AA102" s="273"/>
      <c r="AB102" s="43"/>
      <c r="AC102" s="44">
        <f t="shared" si="1"/>
        <v>0</v>
      </c>
      <c r="AD102" s="249"/>
    </row>
    <row r="103" spans="1:30" ht="17" x14ac:dyDescent="0.2">
      <c r="A103" s="35"/>
      <c r="B103" s="250" t="s">
        <v>197</v>
      </c>
      <c r="C103" s="210" t="s">
        <v>24</v>
      </c>
      <c r="D103" s="211" t="s">
        <v>112</v>
      </c>
      <c r="E103" s="199"/>
      <c r="F103" s="154"/>
      <c r="G103" s="155"/>
      <c r="H103" s="49">
        <v>35.1</v>
      </c>
      <c r="I103" s="48"/>
      <c r="J103" s="58"/>
      <c r="K103" s="48">
        <f>IF(H103&gt;0,ROUND(H103*0.0741,3),ROUND(35.1*0.0741,3))</f>
        <v>2.601</v>
      </c>
      <c r="L103" s="87">
        <v>1.05E-4</v>
      </c>
      <c r="M103" s="87">
        <v>2.0999999999999999E-5</v>
      </c>
      <c r="N103" s="57">
        <f>ROUND(0.85*0.29,3)</f>
        <v>0.247</v>
      </c>
      <c r="O103" s="130"/>
      <c r="P103" s="130"/>
      <c r="Q103" s="130"/>
      <c r="R103" s="56" t="str">
        <f>IF(SUM(O103,P103)&gt;0,ROUND(SUM(O103,P103)*0.0741,3),"na")</f>
        <v>na</v>
      </c>
      <c r="S103" s="273"/>
      <c r="T103" s="273"/>
      <c r="U103" s="47"/>
      <c r="V103" s="43">
        <f t="shared" si="0"/>
        <v>0</v>
      </c>
      <c r="W103" s="43"/>
      <c r="X103" s="273">
        <f t="shared" si="2"/>
        <v>0</v>
      </c>
      <c r="Y103" s="273"/>
      <c r="Z103" s="273">
        <f t="shared" si="3"/>
        <v>0</v>
      </c>
      <c r="AA103" s="273"/>
      <c r="AB103" s="43"/>
      <c r="AC103" s="44">
        <f t="shared" si="1"/>
        <v>0</v>
      </c>
      <c r="AD103" s="249"/>
    </row>
    <row r="104" spans="1:30" ht="17" x14ac:dyDescent="0.2">
      <c r="A104" s="35"/>
      <c r="B104" s="250" t="s">
        <v>197</v>
      </c>
      <c r="C104" s="210" t="s">
        <v>25</v>
      </c>
      <c r="D104" s="211" t="s">
        <v>112</v>
      </c>
      <c r="E104" s="199"/>
      <c r="F104" s="154"/>
      <c r="G104" s="155"/>
      <c r="H104" s="49">
        <v>34.700000000000003</v>
      </c>
      <c r="I104" s="48"/>
      <c r="J104" s="58"/>
      <c r="K104" s="48">
        <f>IF(H104&gt;0,ROUND(H104*0.0715,3),ROUND(34.7*0.0715,3))</f>
        <v>2.4809999999999999</v>
      </c>
      <c r="L104" s="87">
        <v>1.0399999999999999E-4</v>
      </c>
      <c r="M104" s="87">
        <v>2.0999999999999999E-5</v>
      </c>
      <c r="N104" s="57">
        <f>ROUND(0.85*0.29,3)</f>
        <v>0.247</v>
      </c>
      <c r="O104" s="130"/>
      <c r="P104" s="130"/>
      <c r="Q104" s="130"/>
      <c r="R104" s="56" t="str">
        <f>IF(SUM(O104,P104)&gt;0,ROUND(SUM(O104,P104)*0.0715,3),"na")</f>
        <v>na</v>
      </c>
      <c r="S104" s="273"/>
      <c r="T104" s="273"/>
      <c r="U104" s="47"/>
      <c r="V104" s="43">
        <f t="shared" si="0"/>
        <v>0</v>
      </c>
      <c r="W104" s="43"/>
      <c r="X104" s="273">
        <f t="shared" si="2"/>
        <v>0</v>
      </c>
      <c r="Y104" s="273"/>
      <c r="Z104" s="273">
        <f t="shared" si="3"/>
        <v>0</v>
      </c>
      <c r="AA104" s="273"/>
      <c r="AB104" s="43"/>
      <c r="AC104" s="44">
        <f t="shared" si="1"/>
        <v>0</v>
      </c>
      <c r="AD104" s="249"/>
    </row>
    <row r="105" spans="1:30" ht="15" x14ac:dyDescent="0.2">
      <c r="A105" s="35"/>
      <c r="B105" s="250" t="s">
        <v>197</v>
      </c>
      <c r="C105" s="210" t="s">
        <v>26</v>
      </c>
      <c r="D105" s="211" t="s">
        <v>27</v>
      </c>
      <c r="E105" s="199"/>
      <c r="F105" s="154"/>
      <c r="G105" s="155"/>
      <c r="H105" s="49">
        <v>47.3</v>
      </c>
      <c r="I105" s="48"/>
      <c r="J105" s="58"/>
      <c r="K105" s="48">
        <f>IF(H105&gt;0,ROUND(H105*0.0631,3),ROUND(47.3*0.0631,0))</f>
        <v>2.9849999999999999</v>
      </c>
      <c r="L105" s="87">
        <v>4.6999999999999997E-5</v>
      </c>
      <c r="M105" s="87">
        <v>5.0000000000000004E-6</v>
      </c>
      <c r="N105" s="57"/>
      <c r="O105" s="130"/>
      <c r="P105" s="130"/>
      <c r="Q105" s="130"/>
      <c r="R105" s="56" t="str">
        <f>IF(SUM(O105,P105)&gt;0,ROUND(SUM(O105,P105)*0.0631,3),"na")</f>
        <v>na</v>
      </c>
      <c r="S105" s="273"/>
      <c r="T105" s="273"/>
      <c r="U105" s="47"/>
      <c r="V105" s="43">
        <f t="shared" si="0"/>
        <v>0</v>
      </c>
      <c r="W105" s="43"/>
      <c r="X105" s="273">
        <f>IFERROR(ROUND(IF($S105&lt;&gt;"",$S105,$L105)*($E105+$F105-$G105),6),0)</f>
        <v>0</v>
      </c>
      <c r="Y105" s="273"/>
      <c r="Z105" s="273">
        <f t="shared" si="3"/>
        <v>0</v>
      </c>
      <c r="AA105" s="273"/>
      <c r="AB105" s="43"/>
      <c r="AC105" s="44">
        <f t="shared" si="1"/>
        <v>0</v>
      </c>
      <c r="AD105" s="249"/>
    </row>
    <row r="106" spans="1:30" ht="17" x14ac:dyDescent="0.2">
      <c r="A106" s="35"/>
      <c r="B106" s="250" t="s">
        <v>197</v>
      </c>
      <c r="C106" s="210" t="s">
        <v>28</v>
      </c>
      <c r="D106" s="211" t="s">
        <v>115</v>
      </c>
      <c r="E106" s="199"/>
      <c r="F106" s="154"/>
      <c r="G106" s="155"/>
      <c r="H106" s="51">
        <v>35.9</v>
      </c>
      <c r="I106" s="50"/>
      <c r="J106" s="50">
        <f>ROUND(2.014*12.011/44.01,3)</f>
        <v>0.55000000000000004</v>
      </c>
      <c r="K106" s="48">
        <f>ROUND(IF(J106&gt;0,44.01*J106/12.011,IF(H106&gt;0, H106,35.9)*0.0561),3)</f>
        <v>2.0150000000000001</v>
      </c>
      <c r="L106" s="87">
        <v>1.08E-4</v>
      </c>
      <c r="M106" s="87">
        <v>2.1999999999999999E-5</v>
      </c>
      <c r="N106" s="57">
        <f>ROUND(K106*0.33,3)</f>
        <v>0.66500000000000004</v>
      </c>
      <c r="O106" s="130"/>
      <c r="P106" s="130"/>
      <c r="Q106" s="130"/>
      <c r="R106" s="56" t="str">
        <f>IF(Q106&gt;0,ROUND(44.01*Q106/12.011,6),IF(SUM(O106,P106)&gt;0, ROUND(SUM(O106,P106)*0.0561,6),"na"))</f>
        <v>na</v>
      </c>
      <c r="S106" s="273"/>
      <c r="T106" s="273"/>
      <c r="U106" s="47"/>
      <c r="V106" s="43">
        <f t="shared" si="0"/>
        <v>0</v>
      </c>
      <c r="W106" s="43"/>
      <c r="X106" s="273">
        <f t="shared" si="2"/>
        <v>0</v>
      </c>
      <c r="Y106" s="273"/>
      <c r="Z106" s="273">
        <f t="shared" si="3"/>
        <v>0</v>
      </c>
      <c r="AA106" s="273"/>
      <c r="AB106" s="43"/>
      <c r="AC106" s="44">
        <f t="shared" si="1"/>
        <v>0</v>
      </c>
      <c r="AD106" s="249"/>
    </row>
    <row r="107" spans="1:30" ht="15" x14ac:dyDescent="0.2">
      <c r="A107" s="35"/>
      <c r="B107" s="250" t="s">
        <v>197</v>
      </c>
      <c r="C107" s="210" t="s">
        <v>29</v>
      </c>
      <c r="D107" s="385" t="s">
        <v>115</v>
      </c>
      <c r="E107" s="199"/>
      <c r="F107" s="154"/>
      <c r="G107" s="155"/>
      <c r="H107" s="51">
        <v>35.9</v>
      </c>
      <c r="I107" s="50"/>
      <c r="J107" s="50">
        <f>ROUND(2.014*12.011/44.01,3)</f>
        <v>0.55000000000000004</v>
      </c>
      <c r="K107" s="48">
        <f>ROUND(IF(J107&gt;0,44.01*J107/12.011,IF(H107&gt;0, H107,35.9)*0.0561),3)</f>
        <v>2.0150000000000001</v>
      </c>
      <c r="L107" s="87">
        <v>3.6000000000000001E-5</v>
      </c>
      <c r="M107" s="87">
        <v>3.9999999999999998E-6</v>
      </c>
      <c r="N107" s="86">
        <v>0.6</v>
      </c>
      <c r="O107" s="130"/>
      <c r="P107" s="130"/>
      <c r="Q107" s="130"/>
      <c r="R107" s="56" t="str">
        <f>IF(Q107&gt;0,ROUND(44.01*Q107/12.011,6),IF(SUM(O107,P107)&gt;0, ROUND(SUM(O107,P107)*0.0561,6),"na"))</f>
        <v>na</v>
      </c>
      <c r="S107" s="273"/>
      <c r="T107" s="273"/>
      <c r="U107" s="47"/>
      <c r="V107" s="43">
        <f t="shared" si="0"/>
        <v>0</v>
      </c>
      <c r="W107" s="43"/>
      <c r="X107" s="273">
        <f t="shared" si="2"/>
        <v>0</v>
      </c>
      <c r="Y107" s="273"/>
      <c r="Z107" s="273">
        <f t="shared" si="3"/>
        <v>0</v>
      </c>
      <c r="AA107" s="273"/>
      <c r="AB107" s="43"/>
      <c r="AC107" s="90">
        <f t="shared" si="1"/>
        <v>0</v>
      </c>
      <c r="AD107" s="249"/>
    </row>
    <row r="108" spans="1:30" ht="15" x14ac:dyDescent="0.2">
      <c r="A108" s="35"/>
      <c r="B108" s="250" t="s">
        <v>197</v>
      </c>
      <c r="C108" s="210" t="s">
        <v>73</v>
      </c>
      <c r="D108" s="211" t="s">
        <v>27</v>
      </c>
      <c r="E108" s="199"/>
      <c r="F108" s="154"/>
      <c r="G108" s="155"/>
      <c r="H108" s="49">
        <v>120</v>
      </c>
      <c r="I108" s="48"/>
      <c r="J108" s="58"/>
      <c r="K108" s="48"/>
      <c r="L108" s="87" t="s">
        <v>95</v>
      </c>
      <c r="M108" s="87" t="s">
        <v>95</v>
      </c>
      <c r="N108" s="57">
        <v>0</v>
      </c>
      <c r="O108" s="130"/>
      <c r="P108" s="130"/>
      <c r="Q108" s="130"/>
      <c r="R108" s="48"/>
      <c r="S108" s="273"/>
      <c r="T108" s="273"/>
      <c r="U108" s="45"/>
      <c r="V108" s="43">
        <f t="shared" si="0"/>
        <v>0</v>
      </c>
      <c r="W108" s="43"/>
      <c r="X108" s="273">
        <f t="shared" si="2"/>
        <v>0</v>
      </c>
      <c r="Y108" s="273"/>
      <c r="Z108" s="273">
        <f t="shared" si="3"/>
        <v>0</v>
      </c>
      <c r="AA108" s="273"/>
      <c r="AB108" s="43"/>
      <c r="AC108" s="44">
        <f t="shared" si="1"/>
        <v>0</v>
      </c>
      <c r="AD108" s="249"/>
    </row>
    <row r="109" spans="1:30" ht="15" x14ac:dyDescent="0.2">
      <c r="A109" s="35"/>
      <c r="B109" s="250" t="s">
        <v>197</v>
      </c>
      <c r="C109" s="210" t="s">
        <v>74</v>
      </c>
      <c r="D109" s="211" t="s">
        <v>27</v>
      </c>
      <c r="E109" s="199"/>
      <c r="F109" s="154"/>
      <c r="G109" s="155"/>
      <c r="H109" s="49">
        <v>120</v>
      </c>
      <c r="I109" s="48"/>
      <c r="J109" s="58"/>
      <c r="K109" s="48"/>
      <c r="L109" s="87" t="s">
        <v>95</v>
      </c>
      <c r="M109" s="87" t="s">
        <v>95</v>
      </c>
      <c r="N109" s="57">
        <v>1.8</v>
      </c>
      <c r="O109" s="130"/>
      <c r="P109" s="130"/>
      <c r="Q109" s="130"/>
      <c r="R109" s="48"/>
      <c r="S109" s="273"/>
      <c r="T109" s="273"/>
      <c r="U109" s="47"/>
      <c r="V109" s="43">
        <f t="shared" si="0"/>
        <v>0</v>
      </c>
      <c r="W109" s="43"/>
      <c r="X109" s="273">
        <f t="shared" si="2"/>
        <v>0</v>
      </c>
      <c r="Y109" s="273"/>
      <c r="Z109" s="273">
        <f t="shared" si="3"/>
        <v>0</v>
      </c>
      <c r="AA109" s="273"/>
      <c r="AB109" s="43"/>
      <c r="AC109" s="44">
        <f t="shared" si="1"/>
        <v>0</v>
      </c>
      <c r="AD109" s="249"/>
    </row>
    <row r="110" spans="1:30" ht="15" x14ac:dyDescent="0.2">
      <c r="A110" s="35"/>
      <c r="B110" s="250" t="s">
        <v>197</v>
      </c>
      <c r="C110" s="210" t="s">
        <v>75</v>
      </c>
      <c r="D110" s="211" t="s">
        <v>27</v>
      </c>
      <c r="E110" s="199"/>
      <c r="F110" s="154"/>
      <c r="G110" s="155"/>
      <c r="H110" s="49">
        <v>120</v>
      </c>
      <c r="I110" s="48"/>
      <c r="J110" s="58"/>
      <c r="K110" s="48"/>
      <c r="L110" s="87" t="s">
        <v>95</v>
      </c>
      <c r="M110" s="87" t="s">
        <v>95</v>
      </c>
      <c r="N110" s="57">
        <v>19.8</v>
      </c>
      <c r="O110" s="130"/>
      <c r="P110" s="130"/>
      <c r="Q110" s="130"/>
      <c r="R110" s="48"/>
      <c r="S110" s="273"/>
      <c r="T110" s="273"/>
      <c r="U110" s="47"/>
      <c r="V110" s="43">
        <f t="shared" si="0"/>
        <v>0</v>
      </c>
      <c r="W110" s="43"/>
      <c r="X110" s="273">
        <f t="shared" si="2"/>
        <v>0</v>
      </c>
      <c r="Y110" s="273"/>
      <c r="Z110" s="273">
        <f t="shared" si="3"/>
        <v>0</v>
      </c>
      <c r="AA110" s="273"/>
      <c r="AB110" s="43"/>
      <c r="AC110" s="44">
        <f t="shared" si="1"/>
        <v>0</v>
      </c>
      <c r="AD110" s="249"/>
    </row>
    <row r="111" spans="1:30" ht="15" x14ac:dyDescent="0.2">
      <c r="A111" s="35"/>
      <c r="B111" s="250" t="s">
        <v>197</v>
      </c>
      <c r="C111" s="210" t="s">
        <v>84</v>
      </c>
      <c r="D111" s="211" t="s">
        <v>27</v>
      </c>
      <c r="E111" s="199"/>
      <c r="F111" s="154"/>
      <c r="G111" s="155"/>
      <c r="H111" s="49">
        <v>50.4</v>
      </c>
      <c r="I111" s="48"/>
      <c r="J111" s="50">
        <v>0.751</v>
      </c>
      <c r="K111" s="48"/>
      <c r="L111" s="87">
        <v>5.0000000000000002E-5</v>
      </c>
      <c r="M111" s="87">
        <v>5.0000000000000004E-6</v>
      </c>
      <c r="N111" s="57">
        <v>0</v>
      </c>
      <c r="O111" s="130"/>
      <c r="P111" s="130"/>
      <c r="Q111" s="130"/>
      <c r="R111" s="48"/>
      <c r="S111" s="273"/>
      <c r="T111" s="273"/>
      <c r="U111" s="47"/>
      <c r="V111" s="43">
        <f t="shared" si="0"/>
        <v>0</v>
      </c>
      <c r="W111" s="43"/>
      <c r="X111" s="273">
        <f t="shared" si="2"/>
        <v>0</v>
      </c>
      <c r="Y111" s="273"/>
      <c r="Z111" s="273">
        <f t="shared" si="3"/>
        <v>0</v>
      </c>
      <c r="AA111" s="273"/>
      <c r="AB111" s="43"/>
      <c r="AC111" s="44">
        <f t="shared" si="1"/>
        <v>0</v>
      </c>
      <c r="AD111" s="249"/>
    </row>
    <row r="112" spans="1:30" ht="15" x14ac:dyDescent="0.2">
      <c r="A112" s="35"/>
      <c r="B112" s="250" t="s">
        <v>194</v>
      </c>
      <c r="C112" s="210" t="s">
        <v>30</v>
      </c>
      <c r="D112" s="211" t="s">
        <v>14</v>
      </c>
      <c r="E112" s="199"/>
      <c r="F112" s="154"/>
      <c r="G112" s="155"/>
      <c r="H112" s="49"/>
      <c r="I112" s="48"/>
      <c r="J112" s="48">
        <f>ROUND(0.4404*12.011/44.01,3)</f>
        <v>0.12</v>
      </c>
      <c r="K112" s="48">
        <f>ROUND(IF(J112&gt;0,44.01*J112/12.011,44.01*0.12/12.011),3)</f>
        <v>0.44</v>
      </c>
      <c r="L112" s="87" t="s">
        <v>95</v>
      </c>
      <c r="M112" s="87" t="s">
        <v>95</v>
      </c>
      <c r="N112" s="86">
        <v>2.3E-2</v>
      </c>
      <c r="O112" s="130"/>
      <c r="P112" s="130"/>
      <c r="Q112" s="130"/>
      <c r="R112" s="56" t="str">
        <f>IF(Q112&gt;0,ROUND(44.01*Q112/12.011,6),"na")</f>
        <v>na</v>
      </c>
      <c r="S112" s="273"/>
      <c r="T112" s="273"/>
      <c r="U112" s="47"/>
      <c r="V112" s="43">
        <f t="shared" si="0"/>
        <v>0</v>
      </c>
      <c r="W112" s="43"/>
      <c r="X112" s="273">
        <f t="shared" si="2"/>
        <v>0</v>
      </c>
      <c r="Y112" s="273"/>
      <c r="Z112" s="273">
        <f t="shared" si="3"/>
        <v>0</v>
      </c>
      <c r="AA112" s="273"/>
      <c r="AB112" s="43"/>
      <c r="AC112" s="91">
        <f t="shared" si="1"/>
        <v>0</v>
      </c>
      <c r="AD112" s="249"/>
    </row>
    <row r="113" spans="1:30" ht="15" x14ac:dyDescent="0.2">
      <c r="A113" s="35"/>
      <c r="B113" s="250" t="s">
        <v>194</v>
      </c>
      <c r="C113" s="210" t="s">
        <v>31</v>
      </c>
      <c r="D113" s="211" t="s">
        <v>27</v>
      </c>
      <c r="E113" s="384">
        <f>F48</f>
        <v>0</v>
      </c>
      <c r="F113" s="384"/>
      <c r="G113" s="384"/>
      <c r="H113" s="49"/>
      <c r="I113" s="48">
        <v>4.5</v>
      </c>
      <c r="J113" s="58"/>
      <c r="K113" s="48"/>
      <c r="L113" s="87" t="s">
        <v>95</v>
      </c>
      <c r="M113" s="87" t="s">
        <v>95</v>
      </c>
      <c r="N113" s="57">
        <v>0.95</v>
      </c>
      <c r="O113" s="130"/>
      <c r="P113" s="130"/>
      <c r="Q113" s="130"/>
      <c r="R113" s="48"/>
      <c r="S113" s="273"/>
      <c r="T113" s="273"/>
      <c r="U113" s="47"/>
      <c r="V113" s="43">
        <f t="shared" si="0"/>
        <v>0</v>
      </c>
      <c r="W113" s="43"/>
      <c r="X113" s="273">
        <f t="shared" si="2"/>
        <v>0</v>
      </c>
      <c r="Y113" s="273"/>
      <c r="Z113" s="273">
        <f t="shared" si="3"/>
        <v>0</v>
      </c>
      <c r="AA113" s="273"/>
      <c r="AB113" s="43"/>
      <c r="AC113" s="44">
        <f t="shared" si="1"/>
        <v>0</v>
      </c>
      <c r="AD113" s="249"/>
    </row>
    <row r="114" spans="1:30" ht="15" x14ac:dyDescent="0.2">
      <c r="A114" s="35"/>
      <c r="B114" s="250" t="s">
        <v>194</v>
      </c>
      <c r="C114" s="210" t="s">
        <v>32</v>
      </c>
      <c r="D114" s="211" t="s">
        <v>14</v>
      </c>
      <c r="E114" s="199"/>
      <c r="F114" s="154"/>
      <c r="G114" s="155"/>
      <c r="H114" s="49"/>
      <c r="I114" s="48"/>
      <c r="J114" s="50">
        <f>ROUND(0.4771*12.011/44.01,3)</f>
        <v>0.13</v>
      </c>
      <c r="K114" s="48">
        <f>ROUND(IF(J114&gt;0,44.01*J114/12.011,44.01*0.13/12.011),3)</f>
        <v>0.47599999999999998</v>
      </c>
      <c r="L114" s="87" t="s">
        <v>95</v>
      </c>
      <c r="M114" s="87" t="s">
        <v>95</v>
      </c>
      <c r="N114" s="86">
        <v>2.3E-2</v>
      </c>
      <c r="O114" s="130"/>
      <c r="P114" s="130"/>
      <c r="Q114" s="130"/>
      <c r="R114" s="56" t="str">
        <f>IF(Q114&gt;0,ROUND(44.01*Q114/12.011,6),"na")</f>
        <v>na</v>
      </c>
      <c r="S114" s="273"/>
      <c r="T114" s="273"/>
      <c r="U114" s="47"/>
      <c r="V114" s="43">
        <f t="shared" si="0"/>
        <v>0</v>
      </c>
      <c r="W114" s="43"/>
      <c r="X114" s="273">
        <f t="shared" si="2"/>
        <v>0</v>
      </c>
      <c r="Y114" s="273"/>
      <c r="Z114" s="273">
        <f t="shared" si="3"/>
        <v>0</v>
      </c>
      <c r="AA114" s="273"/>
      <c r="AB114" s="43"/>
      <c r="AC114" s="91">
        <f t="shared" si="1"/>
        <v>0</v>
      </c>
      <c r="AD114" s="249"/>
    </row>
    <row r="115" spans="1:30" ht="15" x14ac:dyDescent="0.2">
      <c r="A115" s="35"/>
      <c r="B115" s="250" t="s">
        <v>194</v>
      </c>
      <c r="C115" s="210" t="s">
        <v>33</v>
      </c>
      <c r="D115" s="211" t="s">
        <v>27</v>
      </c>
      <c r="E115" s="199"/>
      <c r="F115" s="154"/>
      <c r="G115" s="155"/>
      <c r="H115" s="49"/>
      <c r="I115" s="48">
        <v>4.5</v>
      </c>
      <c r="J115" s="58"/>
      <c r="K115" s="48"/>
      <c r="L115" s="87" t="s">
        <v>95</v>
      </c>
      <c r="M115" s="87" t="s">
        <v>95</v>
      </c>
      <c r="N115" s="57">
        <v>1.1000000000000001</v>
      </c>
      <c r="O115" s="130"/>
      <c r="P115" s="130"/>
      <c r="Q115" s="130"/>
      <c r="R115" s="48"/>
      <c r="S115" s="273"/>
      <c r="T115" s="273"/>
      <c r="U115" s="47"/>
      <c r="V115" s="43">
        <f t="shared" si="0"/>
        <v>0</v>
      </c>
      <c r="W115" s="43"/>
      <c r="X115" s="273">
        <f t="shared" si="2"/>
        <v>0</v>
      </c>
      <c r="Y115" s="273"/>
      <c r="Z115" s="273">
        <f t="shared" si="3"/>
        <v>0</v>
      </c>
      <c r="AA115" s="273"/>
      <c r="AB115" s="43"/>
      <c r="AC115" s="44">
        <f t="shared" si="1"/>
        <v>0</v>
      </c>
      <c r="AD115" s="249"/>
    </row>
    <row r="116" spans="1:30" ht="15" x14ac:dyDescent="0.2">
      <c r="A116" s="35"/>
      <c r="B116" s="250" t="s">
        <v>200</v>
      </c>
      <c r="C116" s="210" t="s">
        <v>34</v>
      </c>
      <c r="D116" s="211" t="s">
        <v>27</v>
      </c>
      <c r="E116" s="384">
        <f>F46</f>
        <v>0</v>
      </c>
      <c r="F116" s="384"/>
      <c r="G116" s="384"/>
      <c r="H116" s="49"/>
      <c r="I116" s="48">
        <v>2.4500000000000002</v>
      </c>
      <c r="J116" s="58"/>
      <c r="K116" s="48"/>
      <c r="L116" s="87" t="s">
        <v>95</v>
      </c>
      <c r="M116" s="87" t="s">
        <v>95</v>
      </c>
      <c r="N116" s="57">
        <v>0.26200000000000001</v>
      </c>
      <c r="O116" s="130"/>
      <c r="P116" s="130"/>
      <c r="Q116" s="130"/>
      <c r="R116" s="48"/>
      <c r="S116" s="273"/>
      <c r="T116" s="273"/>
      <c r="U116" s="47"/>
      <c r="V116" s="43">
        <f t="shared" si="0"/>
        <v>0</v>
      </c>
      <c r="W116" s="43"/>
      <c r="X116" s="273">
        <f t="shared" si="2"/>
        <v>0</v>
      </c>
      <c r="Y116" s="273"/>
      <c r="Z116" s="273">
        <f t="shared" si="3"/>
        <v>0</v>
      </c>
      <c r="AA116" s="273"/>
      <c r="AB116" s="43"/>
      <c r="AC116" s="44">
        <f t="shared" si="1"/>
        <v>0</v>
      </c>
      <c r="AD116" s="249"/>
    </row>
    <row r="117" spans="1:30" ht="15" x14ac:dyDescent="0.2">
      <c r="A117" s="35"/>
      <c r="B117" s="250" t="s">
        <v>200</v>
      </c>
      <c r="C117" s="210" t="s">
        <v>35</v>
      </c>
      <c r="D117" s="211" t="s">
        <v>27</v>
      </c>
      <c r="E117" s="384">
        <f>F47</f>
        <v>0</v>
      </c>
      <c r="F117" s="384"/>
      <c r="G117" s="384"/>
      <c r="H117" s="49"/>
      <c r="I117" s="48">
        <v>2.1</v>
      </c>
      <c r="J117" s="58"/>
      <c r="K117" s="48"/>
      <c r="L117" s="87" t="s">
        <v>95</v>
      </c>
      <c r="M117" s="87" t="s">
        <v>95</v>
      </c>
      <c r="N117" s="57">
        <v>0.13700000000000001</v>
      </c>
      <c r="O117" s="130"/>
      <c r="P117" s="130"/>
      <c r="Q117" s="130"/>
      <c r="R117" s="48"/>
      <c r="S117" s="273"/>
      <c r="T117" s="273"/>
      <c r="U117" s="47"/>
      <c r="V117" s="43">
        <f t="shared" si="0"/>
        <v>0</v>
      </c>
      <c r="W117" s="43"/>
      <c r="X117" s="273">
        <f t="shared" si="2"/>
        <v>0</v>
      </c>
      <c r="Y117" s="273"/>
      <c r="Z117" s="273">
        <f t="shared" si="3"/>
        <v>0</v>
      </c>
      <c r="AA117" s="273"/>
      <c r="AB117" s="43"/>
      <c r="AC117" s="44">
        <f t="shared" si="1"/>
        <v>0</v>
      </c>
      <c r="AD117" s="249"/>
    </row>
    <row r="118" spans="1:30" ht="15" x14ac:dyDescent="0.2">
      <c r="A118" s="35"/>
      <c r="B118" s="250" t="s">
        <v>193</v>
      </c>
      <c r="C118" s="210" t="s">
        <v>36</v>
      </c>
      <c r="D118" s="211" t="s">
        <v>27</v>
      </c>
      <c r="E118" s="199"/>
      <c r="F118" s="154"/>
      <c r="G118" s="155"/>
      <c r="H118" s="49"/>
      <c r="I118" s="48"/>
      <c r="J118" s="58"/>
      <c r="K118" s="48">
        <f>3.663</f>
        <v>3.6629999999999998</v>
      </c>
      <c r="L118" s="87" t="s">
        <v>95</v>
      </c>
      <c r="M118" s="87" t="s">
        <v>95</v>
      </c>
      <c r="N118" s="57">
        <v>0.65</v>
      </c>
      <c r="O118" s="130"/>
      <c r="P118" s="130"/>
      <c r="Q118" s="130"/>
      <c r="R118" s="59"/>
      <c r="S118" s="273"/>
      <c r="T118" s="273"/>
      <c r="U118" s="47"/>
      <c r="V118" s="43">
        <f>IF($F118&gt;0,IF(R118&gt;0,ROUND(R118*($F118-G118),6),ROUND(K118*($F118-G118),6)),IF(($F63)&gt;0,ROUND(0.005*$F63,6),0))</f>
        <v>0</v>
      </c>
      <c r="W118" s="43"/>
      <c r="X118" s="273">
        <f t="shared" si="2"/>
        <v>0</v>
      </c>
      <c r="Y118" s="273"/>
      <c r="Z118" s="273">
        <f t="shared" si="3"/>
        <v>0</v>
      </c>
      <c r="AA118" s="273"/>
      <c r="AB118" s="43"/>
      <c r="AC118" s="44">
        <f t="shared" si="1"/>
        <v>0</v>
      </c>
      <c r="AD118" s="249"/>
    </row>
    <row r="119" spans="1:30" ht="15" x14ac:dyDescent="0.2">
      <c r="A119" s="35"/>
      <c r="B119" s="250" t="s">
        <v>195</v>
      </c>
      <c r="C119" s="209" t="s">
        <v>80</v>
      </c>
      <c r="D119" s="211" t="s">
        <v>27</v>
      </c>
      <c r="E119" s="199"/>
      <c r="F119" s="154"/>
      <c r="G119" s="155"/>
      <c r="H119" s="49"/>
      <c r="I119" s="48">
        <v>20.9</v>
      </c>
      <c r="J119" s="50">
        <v>4.7E-2</v>
      </c>
      <c r="K119" s="48">
        <f>IF(J119&gt;0,ROUND(44.01*J119/12.011,3),IF(H119&gt;0,ROUND(H119*0.008229665,3),ROUND(44.01*0.047/12.011,3)))</f>
        <v>0.17199999999999999</v>
      </c>
      <c r="L119" s="87" t="s">
        <v>95</v>
      </c>
      <c r="M119" s="87" t="s">
        <v>95</v>
      </c>
      <c r="N119" s="57">
        <v>1.855</v>
      </c>
      <c r="O119" s="130"/>
      <c r="P119" s="130"/>
      <c r="Q119" s="130"/>
      <c r="R119" s="56" t="str">
        <f>IF(Q119&gt;0,ROUND(44.01*Q119/12.011,6),IF(SUM(O119,P119)&gt;0,ROUND(SUM(O119,P119)*0.008229665,6),"na"))</f>
        <v>na</v>
      </c>
      <c r="S119" s="273"/>
      <c r="T119" s="273"/>
      <c r="U119" s="47"/>
      <c r="V119" s="43">
        <f t="shared" ref="V119:V169" si="4">ROUND(IF($R119&lt;&gt;"na",$R119,$K119)*($F119-$G119),6)</f>
        <v>0</v>
      </c>
      <c r="W119" s="43"/>
      <c r="X119" s="273">
        <f t="shared" si="2"/>
        <v>0</v>
      </c>
      <c r="Y119" s="273"/>
      <c r="Z119" s="273">
        <f t="shared" si="3"/>
        <v>0</v>
      </c>
      <c r="AA119" s="273"/>
      <c r="AB119" s="43"/>
      <c r="AC119" s="44">
        <f t="shared" si="1"/>
        <v>0</v>
      </c>
      <c r="AD119" s="249"/>
    </row>
    <row r="120" spans="1:30" ht="15" x14ac:dyDescent="0.2">
      <c r="A120" s="35"/>
      <c r="B120" s="250" t="s">
        <v>195</v>
      </c>
      <c r="C120" s="209" t="s">
        <v>37</v>
      </c>
      <c r="D120" s="211" t="s">
        <v>27</v>
      </c>
      <c r="E120" s="199"/>
      <c r="F120" s="154"/>
      <c r="G120" s="155"/>
      <c r="H120" s="49"/>
      <c r="I120" s="48">
        <v>20.9</v>
      </c>
      <c r="J120" s="50">
        <v>4.7E-2</v>
      </c>
      <c r="K120" s="48">
        <f>IF(J120&gt;0,ROUND(44.01*J120/12.011,3),IF(H120&gt;0,ROUND(H120*0.008229665,3),ROUND(44.01*0.047/12.011,3)))</f>
        <v>0.17199999999999999</v>
      </c>
      <c r="L120" s="87" t="s">
        <v>95</v>
      </c>
      <c r="M120" s="87" t="s">
        <v>95</v>
      </c>
      <c r="N120" s="57">
        <v>1.855</v>
      </c>
      <c r="O120" s="130"/>
      <c r="P120" s="130"/>
      <c r="Q120" s="130"/>
      <c r="R120" s="56" t="str">
        <f>IF(Q120&gt;0,ROUND(44.01*Q120/12.011,6),IF(SUM(O120,P120)&gt;0,ROUND(SUM(O120,P120)*0.008229665,6),"na"))</f>
        <v>na</v>
      </c>
      <c r="S120" s="273"/>
      <c r="T120" s="273"/>
      <c r="U120" s="47"/>
      <c r="V120" s="43">
        <f t="shared" si="4"/>
        <v>0</v>
      </c>
      <c r="W120" s="43"/>
      <c r="X120" s="273">
        <f t="shared" si="2"/>
        <v>0</v>
      </c>
      <c r="Y120" s="273"/>
      <c r="Z120" s="273">
        <f t="shared" si="3"/>
        <v>0</v>
      </c>
      <c r="AA120" s="273"/>
      <c r="AB120" s="43"/>
      <c r="AC120" s="44">
        <f t="shared" si="1"/>
        <v>0</v>
      </c>
      <c r="AD120" s="249"/>
    </row>
    <row r="121" spans="1:30" ht="15" x14ac:dyDescent="0.2">
      <c r="A121" s="35"/>
      <c r="B121" s="250" t="s">
        <v>195</v>
      </c>
      <c r="C121" s="209" t="s">
        <v>38</v>
      </c>
      <c r="D121" s="211" t="s">
        <v>27</v>
      </c>
      <c r="E121" s="199"/>
      <c r="F121" s="154"/>
      <c r="G121" s="155"/>
      <c r="H121" s="49"/>
      <c r="I121" s="48">
        <v>20.9</v>
      </c>
      <c r="J121" s="50">
        <v>4.7E-2</v>
      </c>
      <c r="K121" s="48">
        <f>IF(J121&gt;0,ROUND(44.01*J121/12.011,3),IF(H121&gt;0,ROUND(H121*0.008229665,3),ROUND(44.01*0.047/12.011,3)))</f>
        <v>0.17199999999999999</v>
      </c>
      <c r="L121" s="87" t="s">
        <v>95</v>
      </c>
      <c r="M121" s="87" t="s">
        <v>95</v>
      </c>
      <c r="N121" s="57">
        <v>1.855</v>
      </c>
      <c r="O121" s="130"/>
      <c r="P121" s="130"/>
      <c r="Q121" s="130"/>
      <c r="R121" s="56" t="str">
        <f>IF(Q121&gt;0,ROUND(44.01*Q121/12.011,3),IF(SUM(O121,P121)&gt;0,ROUND(SUM(O121,P121)*0.008229665,3),"na"))</f>
        <v>na</v>
      </c>
      <c r="S121" s="273"/>
      <c r="T121" s="273"/>
      <c r="U121" s="47"/>
      <c r="V121" s="43">
        <f t="shared" si="4"/>
        <v>0</v>
      </c>
      <c r="W121" s="43"/>
      <c r="X121" s="273">
        <f t="shared" si="2"/>
        <v>0</v>
      </c>
      <c r="Y121" s="273"/>
      <c r="Z121" s="273">
        <f t="shared" si="3"/>
        <v>0</v>
      </c>
      <c r="AA121" s="273"/>
      <c r="AB121" s="43"/>
      <c r="AC121" s="44">
        <f t="shared" si="1"/>
        <v>0</v>
      </c>
      <c r="AD121" s="249"/>
    </row>
    <row r="122" spans="1:30" ht="15" x14ac:dyDescent="0.2">
      <c r="A122" s="35"/>
      <c r="B122" s="250" t="s">
        <v>195</v>
      </c>
      <c r="C122" s="209" t="s">
        <v>39</v>
      </c>
      <c r="D122" s="211" t="s">
        <v>27</v>
      </c>
      <c r="E122" s="199"/>
      <c r="F122" s="154"/>
      <c r="G122" s="155"/>
      <c r="H122" s="51"/>
      <c r="I122" s="50"/>
      <c r="J122" s="50">
        <v>5.0000000000000001E-3</v>
      </c>
      <c r="K122" s="48">
        <f>ROUND(IF(J122&gt;0,44.01*J122/12.011,44.01*0.005/12.011),3)</f>
        <v>1.7999999999999999E-2</v>
      </c>
      <c r="L122" s="87" t="s">
        <v>95</v>
      </c>
      <c r="M122" s="87" t="s">
        <v>95</v>
      </c>
      <c r="N122" s="57">
        <v>5.2</v>
      </c>
      <c r="O122" s="130"/>
      <c r="P122" s="130"/>
      <c r="Q122" s="130"/>
      <c r="R122" s="56" t="str">
        <f>IF(Q122&gt;0,ROUND(44.01*Q122/12.011,6),"na")</f>
        <v>na</v>
      </c>
      <c r="S122" s="273"/>
      <c r="T122" s="273"/>
      <c r="U122" s="47"/>
      <c r="V122" s="43">
        <f t="shared" si="4"/>
        <v>0</v>
      </c>
      <c r="W122" s="43"/>
      <c r="X122" s="273">
        <f t="shared" si="2"/>
        <v>0</v>
      </c>
      <c r="Y122" s="273"/>
      <c r="Z122" s="273">
        <f t="shared" si="3"/>
        <v>0</v>
      </c>
      <c r="AA122" s="273"/>
      <c r="AB122" s="43"/>
      <c r="AC122" s="44">
        <f t="shared" si="1"/>
        <v>0</v>
      </c>
      <c r="AD122" s="249"/>
    </row>
    <row r="123" spans="1:30" ht="15" x14ac:dyDescent="0.2">
      <c r="A123" s="35"/>
      <c r="B123" s="250" t="s">
        <v>195</v>
      </c>
      <c r="C123" s="209" t="s">
        <v>76</v>
      </c>
      <c r="D123" s="211" t="s">
        <v>27</v>
      </c>
      <c r="E123" s="199"/>
      <c r="F123" s="154"/>
      <c r="G123" s="155"/>
      <c r="H123" s="51"/>
      <c r="I123" s="50">
        <v>20.9</v>
      </c>
      <c r="J123" s="50">
        <v>4.7E-2</v>
      </c>
      <c r="K123" s="48">
        <f>IF(J123&gt;0,ROUND(44.01*J123/12.011,3),IF(H123&gt;0,ROUND(H123*0.008229665,3),ROUND(44.01*0.047/12.011,3)))</f>
        <v>0.17199999999999999</v>
      </c>
      <c r="L123" s="87" t="s">
        <v>95</v>
      </c>
      <c r="M123" s="87" t="s">
        <v>95</v>
      </c>
      <c r="N123" s="57">
        <v>1.855</v>
      </c>
      <c r="O123" s="130"/>
      <c r="P123" s="130"/>
      <c r="Q123" s="130"/>
      <c r="R123" s="56" t="str">
        <f>IF(Q123&gt;0,ROUND(44.01*Q123/12.011,3),IF(SUM(O123,P123)&gt;0,ROUND(SUM(O123,P123)*0.008229665,3),"na"))</f>
        <v>na</v>
      </c>
      <c r="S123" s="273"/>
      <c r="T123" s="273"/>
      <c r="U123" s="47"/>
      <c r="V123" s="43">
        <f t="shared" si="4"/>
        <v>0</v>
      </c>
      <c r="W123" s="43"/>
      <c r="X123" s="273">
        <f t="shared" si="2"/>
        <v>0</v>
      </c>
      <c r="Y123" s="273"/>
      <c r="Z123" s="273">
        <f t="shared" si="3"/>
        <v>0</v>
      </c>
      <c r="AA123" s="273"/>
      <c r="AB123" s="43"/>
      <c r="AC123" s="44">
        <f t="shared" si="1"/>
        <v>0</v>
      </c>
      <c r="AD123" s="249"/>
    </row>
    <row r="124" spans="1:30" ht="15" x14ac:dyDescent="0.2">
      <c r="A124" s="35"/>
      <c r="B124" s="250" t="s">
        <v>77</v>
      </c>
      <c r="C124" s="209" t="s">
        <v>77</v>
      </c>
      <c r="D124" s="211" t="s">
        <v>27</v>
      </c>
      <c r="E124" s="199"/>
      <c r="F124" s="154"/>
      <c r="G124" s="155"/>
      <c r="H124" s="51"/>
      <c r="I124" s="50">
        <v>15.6</v>
      </c>
      <c r="J124" s="50">
        <v>0.47599999999999998</v>
      </c>
      <c r="K124" s="48"/>
      <c r="L124" s="87">
        <v>4.6799999999999999E-4</v>
      </c>
      <c r="M124" s="87">
        <v>6.2000000000000003E-5</v>
      </c>
      <c r="N124" s="57">
        <v>0</v>
      </c>
      <c r="O124" s="130"/>
      <c r="P124" s="130"/>
      <c r="Q124" s="130"/>
      <c r="R124" s="48"/>
      <c r="S124" s="273"/>
      <c r="T124" s="273"/>
      <c r="U124" s="47"/>
      <c r="V124" s="43">
        <f t="shared" si="4"/>
        <v>0</v>
      </c>
      <c r="W124" s="43"/>
      <c r="X124" s="273">
        <f t="shared" si="2"/>
        <v>0</v>
      </c>
      <c r="Y124" s="273"/>
      <c r="Z124" s="273">
        <f t="shared" si="3"/>
        <v>0</v>
      </c>
      <c r="AA124" s="273"/>
      <c r="AB124" s="43"/>
      <c r="AC124" s="44">
        <f t="shared" si="1"/>
        <v>0</v>
      </c>
      <c r="AD124" s="249"/>
    </row>
    <row r="125" spans="1:30" ht="15" x14ac:dyDescent="0.2">
      <c r="A125" s="35"/>
      <c r="B125" s="250" t="s">
        <v>195</v>
      </c>
      <c r="C125" s="210" t="s">
        <v>40</v>
      </c>
      <c r="D125" s="211" t="s">
        <v>27</v>
      </c>
      <c r="E125" s="199"/>
      <c r="F125" s="154"/>
      <c r="G125" s="155"/>
      <c r="H125" s="51"/>
      <c r="I125" s="50">
        <v>14.1</v>
      </c>
      <c r="J125" s="50">
        <v>0.02</v>
      </c>
      <c r="K125" s="48">
        <f>ROUND(IF(J125&gt;0,44.01*J125/12.011,44.01*0.02/12.011),3)</f>
        <v>7.2999999999999995E-2</v>
      </c>
      <c r="L125" s="87" t="s">
        <v>95</v>
      </c>
      <c r="M125" s="87" t="s">
        <v>95</v>
      </c>
      <c r="N125" s="57">
        <v>0.78</v>
      </c>
      <c r="O125" s="130"/>
      <c r="P125" s="130"/>
      <c r="Q125" s="130"/>
      <c r="R125" s="56" t="str">
        <f t="shared" ref="R125:R154" si="5">IF(Q125&gt;0,ROUND(44.01*Q125/12.011,6),"na")</f>
        <v>na</v>
      </c>
      <c r="S125" s="273"/>
      <c r="T125" s="273"/>
      <c r="U125" s="47"/>
      <c r="V125" s="43">
        <f t="shared" si="4"/>
        <v>0</v>
      </c>
      <c r="W125" s="43"/>
      <c r="X125" s="273">
        <f t="shared" si="2"/>
        <v>0</v>
      </c>
      <c r="Y125" s="273"/>
      <c r="Z125" s="273">
        <f t="shared" si="3"/>
        <v>0</v>
      </c>
      <c r="AA125" s="273"/>
      <c r="AB125" s="43"/>
      <c r="AC125" s="44">
        <f t="shared" si="1"/>
        <v>0</v>
      </c>
      <c r="AD125" s="249"/>
    </row>
    <row r="126" spans="1:30" ht="15" x14ac:dyDescent="0.2">
      <c r="A126" s="35"/>
      <c r="B126" s="250" t="s">
        <v>195</v>
      </c>
      <c r="C126" s="210" t="s">
        <v>41</v>
      </c>
      <c r="D126" s="211" t="s">
        <v>27</v>
      </c>
      <c r="E126" s="199"/>
      <c r="F126" s="154"/>
      <c r="G126" s="155"/>
      <c r="H126" s="49"/>
      <c r="I126" s="48">
        <v>17.899999999999999</v>
      </c>
      <c r="J126" s="50">
        <v>0.02</v>
      </c>
      <c r="K126" s="48">
        <f>ROUND(IF(J126&gt;0,44.01*J126/12.011,44.01*0.02/12.011),3)</f>
        <v>7.2999999999999995E-2</v>
      </c>
      <c r="L126" s="87" t="s">
        <v>95</v>
      </c>
      <c r="M126" s="87" t="s">
        <v>95</v>
      </c>
      <c r="N126" s="57">
        <v>1.21</v>
      </c>
      <c r="O126" s="130"/>
      <c r="P126" s="130"/>
      <c r="Q126" s="130"/>
      <c r="R126" s="56" t="str">
        <f t="shared" si="5"/>
        <v>na</v>
      </c>
      <c r="S126" s="273"/>
      <c r="T126" s="273"/>
      <c r="U126" s="47"/>
      <c r="V126" s="43">
        <f t="shared" si="4"/>
        <v>0</v>
      </c>
      <c r="W126" s="43"/>
      <c r="X126" s="273">
        <f t="shared" si="2"/>
        <v>0</v>
      </c>
      <c r="Y126" s="273"/>
      <c r="Z126" s="273">
        <f t="shared" si="3"/>
        <v>0</v>
      </c>
      <c r="AA126" s="273"/>
      <c r="AB126" s="43"/>
      <c r="AC126" s="44">
        <f t="shared" si="1"/>
        <v>0</v>
      </c>
      <c r="AD126" s="249"/>
    </row>
    <row r="127" spans="1:30" ht="15" x14ac:dyDescent="0.2">
      <c r="A127" s="35"/>
      <c r="B127" s="250" t="s">
        <v>195</v>
      </c>
      <c r="C127" s="210" t="s">
        <v>65</v>
      </c>
      <c r="D127" s="211" t="s">
        <v>27</v>
      </c>
      <c r="E127" s="199"/>
      <c r="F127" s="154"/>
      <c r="G127" s="155"/>
      <c r="H127" s="49"/>
      <c r="I127" s="48">
        <v>14.1</v>
      </c>
      <c r="J127" s="50">
        <v>0.02</v>
      </c>
      <c r="K127" s="48">
        <f>ROUND(IF(J127&gt;0,44.01*J127/12.011,44.01*0.02/12.011),3)</f>
        <v>7.2999999999999995E-2</v>
      </c>
      <c r="L127" s="87" t="s">
        <v>95</v>
      </c>
      <c r="M127" s="87" t="s">
        <v>95</v>
      </c>
      <c r="N127" s="57">
        <v>0.78</v>
      </c>
      <c r="O127" s="130"/>
      <c r="P127" s="130"/>
      <c r="Q127" s="130"/>
      <c r="R127" s="56" t="str">
        <f t="shared" si="5"/>
        <v>na</v>
      </c>
      <c r="S127" s="273"/>
      <c r="T127" s="273"/>
      <c r="U127" s="47"/>
      <c r="V127" s="43">
        <f>ROUND(IF($R127&lt;&gt;"na",$R127,$K127)*($F127-$G127),6)</f>
        <v>0</v>
      </c>
      <c r="W127" s="43"/>
      <c r="X127" s="273">
        <f t="shared" si="2"/>
        <v>0</v>
      </c>
      <c r="Y127" s="273"/>
      <c r="Z127" s="273">
        <f t="shared" si="3"/>
        <v>0</v>
      </c>
      <c r="AA127" s="273"/>
      <c r="AB127" s="43"/>
      <c r="AC127" s="44">
        <f t="shared" si="1"/>
        <v>0</v>
      </c>
      <c r="AD127" s="249"/>
    </row>
    <row r="128" spans="1:30" ht="15" x14ac:dyDescent="0.2">
      <c r="A128" s="35"/>
      <c r="B128" s="250" t="s">
        <v>318</v>
      </c>
      <c r="C128" s="210" t="s">
        <v>322</v>
      </c>
      <c r="D128" s="211" t="s">
        <v>27</v>
      </c>
      <c r="E128" s="384">
        <f>F63</f>
        <v>0</v>
      </c>
      <c r="F128" s="384">
        <f>G63</f>
        <v>0</v>
      </c>
      <c r="G128" s="384">
        <f>H63</f>
        <v>0</v>
      </c>
      <c r="H128" s="49"/>
      <c r="I128" s="48"/>
      <c r="J128" s="50"/>
      <c r="K128" s="48"/>
      <c r="L128" s="87"/>
      <c r="M128" s="87"/>
      <c r="N128" s="57"/>
      <c r="O128" s="130"/>
      <c r="P128" s="130"/>
      <c r="Q128" s="130"/>
      <c r="R128" s="56" t="str">
        <f t="shared" si="5"/>
        <v>na</v>
      </c>
      <c r="S128" s="273"/>
      <c r="T128" s="273"/>
      <c r="U128" s="47"/>
      <c r="V128" s="43">
        <f t="shared" ref="V128:V131" si="6">ROUND(IF($R128&lt;&gt;"na",$R128,$K128)*($F128-$G128),6)</f>
        <v>0</v>
      </c>
      <c r="W128" s="43"/>
      <c r="X128" s="273">
        <f t="shared" si="2"/>
        <v>0</v>
      </c>
      <c r="Y128" s="273"/>
      <c r="Z128" s="273">
        <f t="shared" si="3"/>
        <v>0</v>
      </c>
      <c r="AA128" s="273"/>
      <c r="AB128" s="43"/>
      <c r="AC128" s="44">
        <f t="shared" si="1"/>
        <v>0</v>
      </c>
      <c r="AD128" s="249"/>
    </row>
    <row r="129" spans="1:30" ht="15" x14ac:dyDescent="0.2">
      <c r="A129" s="35"/>
      <c r="B129" s="250" t="s">
        <v>318</v>
      </c>
      <c r="C129" s="210" t="s">
        <v>319</v>
      </c>
      <c r="D129" s="211" t="s">
        <v>27</v>
      </c>
      <c r="E129" s="384">
        <f t="shared" ref="E129:G131" si="7">F54</f>
        <v>0</v>
      </c>
      <c r="F129" s="384">
        <f t="shared" si="7"/>
        <v>0</v>
      </c>
      <c r="G129" s="384">
        <f t="shared" si="7"/>
        <v>0</v>
      </c>
      <c r="H129" s="49"/>
      <c r="I129" s="48"/>
      <c r="J129" s="50"/>
      <c r="K129" s="48"/>
      <c r="L129" s="87"/>
      <c r="M129" s="87"/>
      <c r="N129" s="57"/>
      <c r="O129" s="130"/>
      <c r="P129" s="130"/>
      <c r="Q129" s="130"/>
      <c r="R129" s="56" t="str">
        <f t="shared" si="5"/>
        <v>na</v>
      </c>
      <c r="S129" s="273"/>
      <c r="T129" s="273"/>
      <c r="U129" s="47"/>
      <c r="V129" s="43">
        <f t="shared" si="6"/>
        <v>0</v>
      </c>
      <c r="W129" s="43"/>
      <c r="X129" s="273">
        <f t="shared" si="2"/>
        <v>0</v>
      </c>
      <c r="Y129" s="273"/>
      <c r="Z129" s="273">
        <f t="shared" si="3"/>
        <v>0</v>
      </c>
      <c r="AA129" s="273"/>
      <c r="AB129" s="43"/>
      <c r="AC129" s="44">
        <f t="shared" si="1"/>
        <v>0</v>
      </c>
      <c r="AD129" s="249"/>
    </row>
    <row r="130" spans="1:30" ht="15" x14ac:dyDescent="0.2">
      <c r="A130" s="35"/>
      <c r="B130" s="250" t="s">
        <v>318</v>
      </c>
      <c r="C130" s="209" t="s">
        <v>320</v>
      </c>
      <c r="D130" s="211" t="s">
        <v>27</v>
      </c>
      <c r="E130" s="384">
        <f t="shared" si="7"/>
        <v>0</v>
      </c>
      <c r="F130" s="384">
        <f t="shared" si="7"/>
        <v>0</v>
      </c>
      <c r="G130" s="384">
        <f t="shared" si="7"/>
        <v>0</v>
      </c>
      <c r="H130" s="49"/>
      <c r="I130" s="48"/>
      <c r="J130" s="50"/>
      <c r="K130" s="48"/>
      <c r="L130" s="87"/>
      <c r="M130" s="87"/>
      <c r="N130" s="57"/>
      <c r="O130" s="130"/>
      <c r="P130" s="130"/>
      <c r="Q130" s="130"/>
      <c r="R130" s="56" t="str">
        <f t="shared" si="5"/>
        <v>na</v>
      </c>
      <c r="S130" s="273"/>
      <c r="T130" s="273"/>
      <c r="U130" s="47"/>
      <c r="V130" s="43">
        <f t="shared" si="6"/>
        <v>0</v>
      </c>
      <c r="W130" s="43"/>
      <c r="X130" s="273">
        <f t="shared" si="2"/>
        <v>0</v>
      </c>
      <c r="Y130" s="273"/>
      <c r="Z130" s="273">
        <f t="shared" si="3"/>
        <v>0</v>
      </c>
      <c r="AA130" s="273"/>
      <c r="AB130" s="43"/>
      <c r="AC130" s="44">
        <f t="shared" si="1"/>
        <v>0</v>
      </c>
      <c r="AD130" s="249"/>
    </row>
    <row r="131" spans="1:30" ht="15" x14ac:dyDescent="0.2">
      <c r="A131" s="35"/>
      <c r="B131" s="250" t="s">
        <v>318</v>
      </c>
      <c r="C131" s="209" t="s">
        <v>321</v>
      </c>
      <c r="D131" s="211" t="s">
        <v>27</v>
      </c>
      <c r="E131" s="384">
        <f t="shared" si="7"/>
        <v>0</v>
      </c>
      <c r="F131" s="384">
        <f t="shared" si="7"/>
        <v>0</v>
      </c>
      <c r="G131" s="384">
        <f t="shared" si="7"/>
        <v>0</v>
      </c>
      <c r="H131" s="49"/>
      <c r="I131" s="48"/>
      <c r="J131" s="50"/>
      <c r="K131" s="48"/>
      <c r="L131" s="87"/>
      <c r="M131" s="87"/>
      <c r="N131" s="57"/>
      <c r="O131" s="130"/>
      <c r="P131" s="130"/>
      <c r="Q131" s="130"/>
      <c r="R131" s="56" t="str">
        <f t="shared" si="5"/>
        <v>na</v>
      </c>
      <c r="S131" s="273"/>
      <c r="T131" s="273"/>
      <c r="U131" s="47"/>
      <c r="V131" s="43">
        <f t="shared" si="6"/>
        <v>0</v>
      </c>
      <c r="W131" s="43"/>
      <c r="X131" s="273">
        <f t="shared" si="2"/>
        <v>0</v>
      </c>
      <c r="Y131" s="273"/>
      <c r="Z131" s="273">
        <f t="shared" si="3"/>
        <v>0</v>
      </c>
      <c r="AA131" s="273"/>
      <c r="AB131" s="43"/>
      <c r="AC131" s="44">
        <f t="shared" si="1"/>
        <v>0</v>
      </c>
      <c r="AD131" s="249"/>
    </row>
    <row r="132" spans="1:30" ht="15" x14ac:dyDescent="0.2">
      <c r="A132" s="35"/>
      <c r="B132" s="250" t="s">
        <v>196</v>
      </c>
      <c r="C132" s="210" t="s">
        <v>42</v>
      </c>
      <c r="D132" s="211" t="s">
        <v>27</v>
      </c>
      <c r="E132" s="199"/>
      <c r="F132" s="154"/>
      <c r="G132" s="155"/>
      <c r="H132" s="49"/>
      <c r="I132" s="48"/>
      <c r="J132" s="50">
        <v>0.01</v>
      </c>
      <c r="K132" s="48">
        <f>ROUND(IF(J132&gt;0,44.01*J132/12.011,44.01*0.01/12.011),3)</f>
        <v>3.6999999999999998E-2</v>
      </c>
      <c r="L132" s="87" t="s">
        <v>95</v>
      </c>
      <c r="M132" s="87" t="s">
        <v>95</v>
      </c>
      <c r="N132" s="57">
        <v>8.6761599999999994</v>
      </c>
      <c r="O132" s="130"/>
      <c r="P132" s="130"/>
      <c r="Q132" s="130"/>
      <c r="R132" s="56" t="str">
        <f t="shared" si="5"/>
        <v>na</v>
      </c>
      <c r="S132" s="273"/>
      <c r="T132" s="273"/>
      <c r="U132" s="47"/>
      <c r="V132" s="43">
        <f t="shared" si="4"/>
        <v>0</v>
      </c>
      <c r="W132" s="43"/>
      <c r="X132" s="273">
        <f t="shared" si="2"/>
        <v>0</v>
      </c>
      <c r="Y132" s="273"/>
      <c r="Z132" s="273">
        <f t="shared" si="3"/>
        <v>0</v>
      </c>
      <c r="AA132" s="273"/>
      <c r="AB132" s="43"/>
      <c r="AC132" s="44">
        <f t="shared" si="1"/>
        <v>0</v>
      </c>
      <c r="AD132" s="249"/>
    </row>
    <row r="133" spans="1:30" ht="15" x14ac:dyDescent="0.2">
      <c r="A133" s="35"/>
      <c r="B133" s="250" t="s">
        <v>196</v>
      </c>
      <c r="C133" s="210" t="s">
        <v>43</v>
      </c>
      <c r="D133" s="211" t="s">
        <v>27</v>
      </c>
      <c r="E133" s="199"/>
      <c r="F133" s="154"/>
      <c r="G133" s="155"/>
      <c r="H133" s="49"/>
      <c r="I133" s="48"/>
      <c r="J133" s="50">
        <v>1E-3</v>
      </c>
      <c r="K133" s="48">
        <f>ROUND(IF(J133&gt;0,44.01*J133/12.011,44.01*0.001/12.011),3)</f>
        <v>4.0000000000000001E-3</v>
      </c>
      <c r="L133" s="87" t="s">
        <v>95</v>
      </c>
      <c r="M133" s="87" t="s">
        <v>95</v>
      </c>
      <c r="N133" s="57">
        <f>ROUND(26337*0.77/1000,3)</f>
        <v>20.279</v>
      </c>
      <c r="O133" s="130"/>
      <c r="P133" s="130"/>
      <c r="Q133" s="130"/>
      <c r="R133" s="56" t="str">
        <f t="shared" si="5"/>
        <v>na</v>
      </c>
      <c r="S133" s="273"/>
      <c r="T133" s="273"/>
      <c r="U133" s="47"/>
      <c r="V133" s="43">
        <f t="shared" si="4"/>
        <v>0</v>
      </c>
      <c r="W133" s="43"/>
      <c r="X133" s="273">
        <f t="shared" si="2"/>
        <v>0</v>
      </c>
      <c r="Y133" s="273"/>
      <c r="Z133" s="273">
        <f t="shared" si="3"/>
        <v>0</v>
      </c>
      <c r="AA133" s="273"/>
      <c r="AB133" s="43"/>
      <c r="AC133" s="44">
        <f t="shared" si="1"/>
        <v>0</v>
      </c>
      <c r="AD133" s="249"/>
    </row>
    <row r="134" spans="1:30" ht="15" x14ac:dyDescent="0.2">
      <c r="A134" s="35"/>
      <c r="B134" s="250" t="s">
        <v>196</v>
      </c>
      <c r="C134" s="210" t="s">
        <v>44</v>
      </c>
      <c r="D134" s="211" t="s">
        <v>27</v>
      </c>
      <c r="E134" s="199"/>
      <c r="F134" s="154"/>
      <c r="G134" s="155"/>
      <c r="H134" s="49"/>
      <c r="I134" s="48"/>
      <c r="J134" s="50">
        <v>1E-3</v>
      </c>
      <c r="K134" s="48">
        <f>ROUND(IF(J134&gt;0,44.01*J134/12.011,44.01*0.001/12.011),3)</f>
        <v>4.0000000000000001E-3</v>
      </c>
      <c r="L134" s="87" t="s">
        <v>95</v>
      </c>
      <c r="M134" s="87" t="s">
        <v>95</v>
      </c>
      <c r="N134" s="57">
        <f>ROUND(13675*0.993/1000,3)</f>
        <v>13.579000000000001</v>
      </c>
      <c r="O134" s="130"/>
      <c r="P134" s="130"/>
      <c r="Q134" s="130"/>
      <c r="R134" s="56" t="str">
        <f t="shared" si="5"/>
        <v>na</v>
      </c>
      <c r="S134" s="273"/>
      <c r="T134" s="273"/>
      <c r="U134" s="47"/>
      <c r="V134" s="43">
        <f t="shared" si="4"/>
        <v>0</v>
      </c>
      <c r="W134" s="43"/>
      <c r="X134" s="273">
        <f t="shared" si="2"/>
        <v>0</v>
      </c>
      <c r="Y134" s="273"/>
      <c r="Z134" s="273">
        <f t="shared" si="3"/>
        <v>0</v>
      </c>
      <c r="AA134" s="273"/>
      <c r="AB134" s="43"/>
      <c r="AC134" s="44">
        <f t="shared" si="1"/>
        <v>0</v>
      </c>
      <c r="AD134" s="249"/>
    </row>
    <row r="135" spans="1:30" ht="15" x14ac:dyDescent="0.2">
      <c r="A135" s="35"/>
      <c r="B135" s="250" t="s">
        <v>196</v>
      </c>
      <c r="C135" s="210" t="s">
        <v>45</v>
      </c>
      <c r="D135" s="211" t="s">
        <v>27</v>
      </c>
      <c r="E135" s="199"/>
      <c r="F135" s="154"/>
      <c r="G135" s="155"/>
      <c r="H135" s="49"/>
      <c r="I135" s="48"/>
      <c r="J135" s="50">
        <v>7.4999999999999997E-2</v>
      </c>
      <c r="K135" s="48">
        <f>ROUND(IF(J135&gt;0,44.01*J135/12.011,44.01*0.075/12.011),3)</f>
        <v>0.27500000000000002</v>
      </c>
      <c r="L135" s="87" t="s">
        <v>95</v>
      </c>
      <c r="M135" s="87" t="s">
        <v>95</v>
      </c>
      <c r="N135" s="57">
        <f>ROUND(10596.9*0.565/1000,3)</f>
        <v>5.9870000000000001</v>
      </c>
      <c r="O135" s="130"/>
      <c r="P135" s="130"/>
      <c r="Q135" s="130"/>
      <c r="R135" s="56" t="str">
        <f t="shared" si="5"/>
        <v>na</v>
      </c>
      <c r="S135" s="273"/>
      <c r="T135" s="273"/>
      <c r="U135" s="47"/>
      <c r="V135" s="43">
        <f t="shared" si="4"/>
        <v>0</v>
      </c>
      <c r="W135" s="43"/>
      <c r="X135" s="273">
        <f t="shared" si="2"/>
        <v>0</v>
      </c>
      <c r="Y135" s="273"/>
      <c r="Z135" s="273">
        <f t="shared" si="3"/>
        <v>0</v>
      </c>
      <c r="AA135" s="273"/>
      <c r="AB135" s="43"/>
      <c r="AC135" s="44">
        <f t="shared" si="1"/>
        <v>0</v>
      </c>
      <c r="AD135" s="249"/>
    </row>
    <row r="136" spans="1:30" ht="15" x14ac:dyDescent="0.2">
      <c r="A136" s="35"/>
      <c r="B136" s="250" t="s">
        <v>196</v>
      </c>
      <c r="C136" s="209" t="s">
        <v>46</v>
      </c>
      <c r="D136" s="211" t="s">
        <v>27</v>
      </c>
      <c r="E136" s="199"/>
      <c r="F136" s="154"/>
      <c r="G136" s="155"/>
      <c r="H136" s="49"/>
      <c r="I136" s="48"/>
      <c r="J136" s="50">
        <v>1E-3</v>
      </c>
      <c r="K136" s="48">
        <f>ROUND(IF(J136&gt;0,44.01*J136/12.011,44.01*0.001/12.011),3)</f>
        <v>4.0000000000000001E-3</v>
      </c>
      <c r="L136" s="87" t="s">
        <v>95</v>
      </c>
      <c r="M136" s="87" t="s">
        <v>95</v>
      </c>
      <c r="N136" s="57">
        <v>6.5</v>
      </c>
      <c r="O136" s="130"/>
      <c r="P136" s="130"/>
      <c r="Q136" s="130"/>
      <c r="R136" s="56" t="str">
        <f t="shared" si="5"/>
        <v>na</v>
      </c>
      <c r="S136" s="273"/>
      <c r="T136" s="273"/>
      <c r="U136" s="47"/>
      <c r="V136" s="43">
        <f t="shared" si="4"/>
        <v>0</v>
      </c>
      <c r="W136" s="43"/>
      <c r="X136" s="273">
        <f t="shared" si="2"/>
        <v>0</v>
      </c>
      <c r="Y136" s="273"/>
      <c r="Z136" s="273">
        <f t="shared" si="3"/>
        <v>0</v>
      </c>
      <c r="AA136" s="273"/>
      <c r="AB136" s="43"/>
      <c r="AC136" s="44">
        <f t="shared" si="1"/>
        <v>0</v>
      </c>
      <c r="AD136" s="249"/>
    </row>
    <row r="137" spans="1:30" ht="15" x14ac:dyDescent="0.2">
      <c r="A137" s="35"/>
      <c r="B137" s="250" t="s">
        <v>196</v>
      </c>
      <c r="C137" s="209" t="s">
        <v>69</v>
      </c>
      <c r="D137" s="211" t="s">
        <v>27</v>
      </c>
      <c r="E137" s="199"/>
      <c r="F137" s="154"/>
      <c r="G137" s="155"/>
      <c r="H137" s="49"/>
      <c r="I137" s="48"/>
      <c r="J137" s="50">
        <v>5.0000000000000001E-3</v>
      </c>
      <c r="K137" s="48">
        <f>ROUND(IF(J137&gt;0,44.01*J137/12.011,44.01*0.005/12.011),3)</f>
        <v>1.7999999999999999E-2</v>
      </c>
      <c r="L137" s="87" t="s">
        <v>95</v>
      </c>
      <c r="M137" s="87" t="s">
        <v>95</v>
      </c>
      <c r="N137" s="57">
        <v>8.5</v>
      </c>
      <c r="O137" s="130"/>
      <c r="P137" s="130"/>
      <c r="Q137" s="130"/>
      <c r="R137" s="56" t="str">
        <f t="shared" si="5"/>
        <v>na</v>
      </c>
      <c r="S137" s="273"/>
      <c r="T137" s="273"/>
      <c r="U137" s="47"/>
      <c r="V137" s="43">
        <f t="shared" si="4"/>
        <v>0</v>
      </c>
      <c r="W137" s="43"/>
      <c r="X137" s="273">
        <f t="shared" si="2"/>
        <v>0</v>
      </c>
      <c r="Y137" s="273"/>
      <c r="Z137" s="273">
        <f t="shared" si="3"/>
        <v>0</v>
      </c>
      <c r="AA137" s="273"/>
      <c r="AB137" s="43"/>
      <c r="AC137" s="44">
        <f t="shared" si="1"/>
        <v>0</v>
      </c>
      <c r="AD137" s="249"/>
    </row>
    <row r="138" spans="1:30" ht="15" x14ac:dyDescent="0.2">
      <c r="A138" s="35"/>
      <c r="B138" s="250" t="s">
        <v>196</v>
      </c>
      <c r="C138" s="210" t="s">
        <v>47</v>
      </c>
      <c r="D138" s="211" t="s">
        <v>27</v>
      </c>
      <c r="E138" s="199"/>
      <c r="F138" s="154"/>
      <c r="G138" s="155"/>
      <c r="H138" s="51"/>
      <c r="I138" s="50"/>
      <c r="J138" s="50">
        <v>0.05</v>
      </c>
      <c r="K138" s="48">
        <f>ROUND(IF(J138&gt;0,44.01*J138/12.011,44.01*0.05/12.011),3)</f>
        <v>0.183</v>
      </c>
      <c r="L138" s="87" t="s">
        <v>95</v>
      </c>
      <c r="M138" s="87" t="s">
        <v>95</v>
      </c>
      <c r="N138" s="57">
        <v>2.7890000000000001</v>
      </c>
      <c r="O138" s="130"/>
      <c r="P138" s="130"/>
      <c r="Q138" s="130"/>
      <c r="R138" s="56" t="str">
        <f t="shared" si="5"/>
        <v>na</v>
      </c>
      <c r="S138" s="273"/>
      <c r="T138" s="273"/>
      <c r="U138" s="47"/>
      <c r="V138" s="43">
        <f t="shared" si="4"/>
        <v>0</v>
      </c>
      <c r="W138" s="43"/>
      <c r="X138" s="273">
        <f t="shared" si="2"/>
        <v>0</v>
      </c>
      <c r="Y138" s="273"/>
      <c r="Z138" s="273">
        <f t="shared" si="3"/>
        <v>0</v>
      </c>
      <c r="AA138" s="273"/>
      <c r="AB138" s="43"/>
      <c r="AC138" s="44">
        <f t="shared" si="1"/>
        <v>0</v>
      </c>
      <c r="AD138" s="249"/>
    </row>
    <row r="139" spans="1:30" ht="15" x14ac:dyDescent="0.2">
      <c r="A139" s="35"/>
      <c r="B139" s="250" t="s">
        <v>196</v>
      </c>
      <c r="C139" s="210" t="s">
        <v>67</v>
      </c>
      <c r="D139" s="211" t="s">
        <v>27</v>
      </c>
      <c r="E139" s="199"/>
      <c r="F139" s="154"/>
      <c r="G139" s="155"/>
      <c r="H139" s="51"/>
      <c r="I139" s="50"/>
      <c r="J139" s="50">
        <v>1E-3</v>
      </c>
      <c r="K139" s="48">
        <f>ROUND(IF(J139&gt;0,44.01*J139/12.011,44.01*0.001/12.011),3)</f>
        <v>4.0000000000000001E-3</v>
      </c>
      <c r="L139" s="87" t="s">
        <v>95</v>
      </c>
      <c r="M139" s="87" t="s">
        <v>95</v>
      </c>
      <c r="N139" s="57">
        <v>4</v>
      </c>
      <c r="O139" s="130"/>
      <c r="P139" s="130"/>
      <c r="Q139" s="130"/>
      <c r="R139" s="56" t="str">
        <f t="shared" si="5"/>
        <v>na</v>
      </c>
      <c r="S139" s="273"/>
      <c r="T139" s="273"/>
      <c r="U139" s="47"/>
      <c r="V139" s="43">
        <f t="shared" si="4"/>
        <v>0</v>
      </c>
      <c r="W139" s="43"/>
      <c r="X139" s="273">
        <f t="shared" si="2"/>
        <v>0</v>
      </c>
      <c r="Y139" s="273"/>
      <c r="Z139" s="273">
        <f t="shared" si="3"/>
        <v>0</v>
      </c>
      <c r="AA139" s="273"/>
      <c r="AB139" s="43"/>
      <c r="AC139" s="44">
        <f t="shared" si="1"/>
        <v>0</v>
      </c>
      <c r="AD139" s="249"/>
    </row>
    <row r="140" spans="1:30" ht="15" x14ac:dyDescent="0.2">
      <c r="A140" s="35"/>
      <c r="B140" s="250" t="s">
        <v>196</v>
      </c>
      <c r="C140" s="210" t="s">
        <v>68</v>
      </c>
      <c r="D140" s="211" t="s">
        <v>27</v>
      </c>
      <c r="E140" s="199"/>
      <c r="F140" s="154"/>
      <c r="G140" s="155"/>
      <c r="H140" s="51"/>
      <c r="I140" s="50"/>
      <c r="J140" s="50">
        <v>5.0000000000000001E-3</v>
      </c>
      <c r="K140" s="48">
        <f>ROUND(IF(J140&gt;0,44.01*J140/12.011,44.01*0.005/12.011),3)</f>
        <v>1.7999999999999999E-2</v>
      </c>
      <c r="L140" s="87" t="s">
        <v>95</v>
      </c>
      <c r="M140" s="87" t="s">
        <v>95</v>
      </c>
      <c r="N140" s="57">
        <v>2.8</v>
      </c>
      <c r="O140" s="130"/>
      <c r="P140" s="130"/>
      <c r="Q140" s="130"/>
      <c r="R140" s="56" t="str">
        <f t="shared" si="5"/>
        <v>na</v>
      </c>
      <c r="S140" s="273"/>
      <c r="T140" s="273"/>
      <c r="U140" s="47"/>
      <c r="V140" s="43">
        <f t="shared" si="4"/>
        <v>0</v>
      </c>
      <c r="W140" s="43"/>
      <c r="X140" s="273">
        <f t="shared" si="2"/>
        <v>0</v>
      </c>
      <c r="Y140" s="273"/>
      <c r="Z140" s="273">
        <f t="shared" si="3"/>
        <v>0</v>
      </c>
      <c r="AA140" s="273"/>
      <c r="AB140" s="43"/>
      <c r="AC140" s="44">
        <f t="shared" si="1"/>
        <v>0</v>
      </c>
      <c r="AD140" s="249"/>
    </row>
    <row r="141" spans="1:30" ht="15" x14ac:dyDescent="0.2">
      <c r="A141" s="35"/>
      <c r="B141" s="250" t="s">
        <v>196</v>
      </c>
      <c r="C141" s="210" t="s">
        <v>87</v>
      </c>
      <c r="D141" s="211" t="s">
        <v>27</v>
      </c>
      <c r="E141" s="199"/>
      <c r="F141" s="154"/>
      <c r="G141" s="155"/>
      <c r="H141" s="51"/>
      <c r="I141" s="50"/>
      <c r="J141" s="50">
        <v>1E-3</v>
      </c>
      <c r="K141" s="48">
        <f>ROUND(IF(J141&gt;0,44.01*J141/12.011,44.01*0.001/12.011),3)</f>
        <v>4.0000000000000001E-3</v>
      </c>
      <c r="L141" s="87" t="s">
        <v>95</v>
      </c>
      <c r="M141" s="87" t="s">
        <v>95</v>
      </c>
      <c r="N141" s="57">
        <v>5</v>
      </c>
      <c r="O141" s="130"/>
      <c r="P141" s="130"/>
      <c r="Q141" s="130"/>
      <c r="R141" s="56" t="str">
        <f t="shared" si="5"/>
        <v>na</v>
      </c>
      <c r="S141" s="273"/>
      <c r="T141" s="273"/>
      <c r="U141" s="47"/>
      <c r="V141" s="43">
        <f t="shared" si="4"/>
        <v>0</v>
      </c>
      <c r="W141" s="43"/>
      <c r="X141" s="273">
        <f t="shared" si="2"/>
        <v>0</v>
      </c>
      <c r="Y141" s="273"/>
      <c r="Z141" s="273">
        <f t="shared" si="3"/>
        <v>0</v>
      </c>
      <c r="AA141" s="273"/>
      <c r="AB141" s="43"/>
      <c r="AC141" s="44">
        <f t="shared" si="1"/>
        <v>0</v>
      </c>
      <c r="AD141" s="249"/>
    </row>
    <row r="142" spans="1:30" ht="15" x14ac:dyDescent="0.2">
      <c r="A142" s="188"/>
      <c r="B142" s="250" t="s">
        <v>196</v>
      </c>
      <c r="C142" s="210" t="s">
        <v>143</v>
      </c>
      <c r="D142" s="211" t="s">
        <v>27</v>
      </c>
      <c r="E142" s="199"/>
      <c r="F142" s="154"/>
      <c r="G142" s="155"/>
      <c r="H142" s="51"/>
      <c r="I142" s="50"/>
      <c r="J142" s="50"/>
      <c r="K142" s="48"/>
      <c r="L142" s="87"/>
      <c r="M142" s="87"/>
      <c r="N142" s="57">
        <v>16.5</v>
      </c>
      <c r="O142" s="130"/>
      <c r="P142" s="130"/>
      <c r="Q142" s="130"/>
      <c r="R142" s="56" t="str">
        <f t="shared" si="5"/>
        <v>na</v>
      </c>
      <c r="S142" s="273"/>
      <c r="T142" s="273"/>
      <c r="U142" s="47"/>
      <c r="V142" s="43">
        <f t="shared" si="4"/>
        <v>0</v>
      </c>
      <c r="W142" s="43"/>
      <c r="X142" s="273">
        <f t="shared" si="2"/>
        <v>0</v>
      </c>
      <c r="Y142" s="273"/>
      <c r="Z142" s="273">
        <f t="shared" si="3"/>
        <v>0</v>
      </c>
      <c r="AA142" s="273"/>
      <c r="AB142" s="43"/>
      <c r="AC142" s="44">
        <f t="shared" si="1"/>
        <v>0</v>
      </c>
      <c r="AD142" s="249"/>
    </row>
    <row r="143" spans="1:30" ht="15" x14ac:dyDescent="0.2">
      <c r="A143" s="188"/>
      <c r="B143" s="250" t="s">
        <v>196</v>
      </c>
      <c r="C143" s="210" t="s">
        <v>144</v>
      </c>
      <c r="D143" s="211" t="s">
        <v>27</v>
      </c>
      <c r="E143" s="199"/>
      <c r="F143" s="154"/>
      <c r="G143" s="155"/>
      <c r="H143" s="51"/>
      <c r="I143" s="50"/>
      <c r="J143" s="50"/>
      <c r="K143" s="48"/>
      <c r="L143" s="87"/>
      <c r="M143" s="87"/>
      <c r="N143" s="57">
        <v>4.0999999999999996</v>
      </c>
      <c r="O143" s="130"/>
      <c r="P143" s="130"/>
      <c r="Q143" s="130"/>
      <c r="R143" s="56" t="str">
        <f t="shared" si="5"/>
        <v>na</v>
      </c>
      <c r="S143" s="273"/>
      <c r="T143" s="273"/>
      <c r="U143" s="47"/>
      <c r="V143" s="43">
        <f t="shared" si="4"/>
        <v>0</v>
      </c>
      <c r="W143" s="43"/>
      <c r="X143" s="273">
        <f t="shared" si="2"/>
        <v>0</v>
      </c>
      <c r="Y143" s="273"/>
      <c r="Z143" s="273">
        <f t="shared" si="3"/>
        <v>0</v>
      </c>
      <c r="AA143" s="273"/>
      <c r="AB143" s="43"/>
      <c r="AC143" s="44">
        <f t="shared" si="1"/>
        <v>0</v>
      </c>
      <c r="AD143" s="249"/>
    </row>
    <row r="144" spans="1:30" ht="15" x14ac:dyDescent="0.2">
      <c r="A144" s="188"/>
      <c r="B144" s="250" t="s">
        <v>196</v>
      </c>
      <c r="C144" s="210" t="s">
        <v>145</v>
      </c>
      <c r="D144" s="211" t="s">
        <v>27</v>
      </c>
      <c r="E144" s="199"/>
      <c r="F144" s="154"/>
      <c r="G144" s="155"/>
      <c r="H144" s="51"/>
      <c r="I144" s="50"/>
      <c r="J144" s="50"/>
      <c r="K144" s="48"/>
      <c r="L144" s="87"/>
      <c r="M144" s="87"/>
      <c r="N144" s="57" t="s">
        <v>185</v>
      </c>
      <c r="O144" s="130"/>
      <c r="P144" s="130"/>
      <c r="Q144" s="130"/>
      <c r="R144" s="56" t="str">
        <f t="shared" si="5"/>
        <v>na</v>
      </c>
      <c r="S144" s="273"/>
      <c r="T144" s="273"/>
      <c r="U144" s="47"/>
      <c r="V144" s="43">
        <f t="shared" si="4"/>
        <v>0</v>
      </c>
      <c r="W144" s="43"/>
      <c r="X144" s="273">
        <f t="shared" si="2"/>
        <v>0</v>
      </c>
      <c r="Y144" s="273"/>
      <c r="Z144" s="273">
        <f t="shared" si="3"/>
        <v>0</v>
      </c>
      <c r="AA144" s="273"/>
      <c r="AB144" s="43"/>
      <c r="AC144" s="44">
        <f>ROUND(IF($U144&lt;&gt;"na",$U144,$N144)*($F144-$G144),6)</f>
        <v>0</v>
      </c>
      <c r="AD144" s="249"/>
    </row>
    <row r="145" spans="1:30" ht="15" x14ac:dyDescent="0.2">
      <c r="A145" s="188"/>
      <c r="B145" s="250" t="s">
        <v>196</v>
      </c>
      <c r="C145" s="210" t="s">
        <v>146</v>
      </c>
      <c r="D145" s="211" t="s">
        <v>27</v>
      </c>
      <c r="E145" s="199"/>
      <c r="F145" s="154"/>
      <c r="G145" s="155"/>
      <c r="H145" s="51"/>
      <c r="I145" s="50"/>
      <c r="J145" s="50"/>
      <c r="K145" s="48"/>
      <c r="L145" s="87"/>
      <c r="M145" s="87"/>
      <c r="N145" s="57" t="s">
        <v>185</v>
      </c>
      <c r="O145" s="130"/>
      <c r="P145" s="130"/>
      <c r="Q145" s="130"/>
      <c r="R145" s="56" t="str">
        <f t="shared" si="5"/>
        <v>na</v>
      </c>
      <c r="S145" s="273"/>
      <c r="T145" s="273"/>
      <c r="U145" s="47"/>
      <c r="V145" s="43">
        <f t="shared" si="4"/>
        <v>0</v>
      </c>
      <c r="W145" s="43"/>
      <c r="X145" s="273">
        <f t="shared" si="2"/>
        <v>0</v>
      </c>
      <c r="Y145" s="273"/>
      <c r="Z145" s="273">
        <f t="shared" si="3"/>
        <v>0</v>
      </c>
      <c r="AA145" s="273"/>
      <c r="AB145" s="43"/>
      <c r="AC145" s="44">
        <f>ROUND(IF($U145&lt;&gt;"na",$U145,$N145)*($F145-$G145),6)</f>
        <v>0</v>
      </c>
      <c r="AD145" s="249"/>
    </row>
    <row r="146" spans="1:30" ht="15" x14ac:dyDescent="0.2">
      <c r="A146" s="188"/>
      <c r="B146" s="250" t="s">
        <v>196</v>
      </c>
      <c r="C146" s="210" t="s">
        <v>147</v>
      </c>
      <c r="D146" s="211" t="s">
        <v>27</v>
      </c>
      <c r="E146" s="199"/>
      <c r="F146" s="154"/>
      <c r="G146" s="155"/>
      <c r="H146" s="51"/>
      <c r="I146" s="50"/>
      <c r="J146" s="50"/>
      <c r="K146" s="48"/>
      <c r="L146" s="87"/>
      <c r="M146" s="87"/>
      <c r="N146" s="57" t="s">
        <v>185</v>
      </c>
      <c r="O146" s="130"/>
      <c r="P146" s="130"/>
      <c r="Q146" s="130"/>
      <c r="R146" s="56" t="str">
        <f t="shared" si="5"/>
        <v>na</v>
      </c>
      <c r="S146" s="273"/>
      <c r="T146" s="273"/>
      <c r="U146" s="47"/>
      <c r="V146" s="43">
        <f t="shared" si="4"/>
        <v>0</v>
      </c>
      <c r="W146" s="43"/>
      <c r="X146" s="273">
        <f t="shared" si="2"/>
        <v>0</v>
      </c>
      <c r="Y146" s="273"/>
      <c r="Z146" s="273">
        <f t="shared" si="3"/>
        <v>0</v>
      </c>
      <c r="AA146" s="273"/>
      <c r="AB146" s="43"/>
      <c r="AC146" s="44">
        <f>ROUND(IF($U146&lt;&gt;"na",$U146,$N146)*($F146-$G146),6)</f>
        <v>0</v>
      </c>
      <c r="AD146" s="249"/>
    </row>
    <row r="147" spans="1:30" ht="15" x14ac:dyDescent="0.2">
      <c r="A147" s="188"/>
      <c r="B147" s="250" t="s">
        <v>196</v>
      </c>
      <c r="C147" s="210" t="s">
        <v>148</v>
      </c>
      <c r="D147" s="211" t="s">
        <v>27</v>
      </c>
      <c r="E147" s="199"/>
      <c r="F147" s="154"/>
      <c r="G147" s="155"/>
      <c r="H147" s="51"/>
      <c r="I147" s="50"/>
      <c r="J147" s="50"/>
      <c r="K147" s="48"/>
      <c r="L147" s="87"/>
      <c r="M147" s="87"/>
      <c r="N147" s="57">
        <v>6</v>
      </c>
      <c r="O147" s="130"/>
      <c r="P147" s="130"/>
      <c r="Q147" s="130"/>
      <c r="R147" s="56" t="str">
        <f t="shared" si="5"/>
        <v>na</v>
      </c>
      <c r="S147" s="273"/>
      <c r="T147" s="273"/>
      <c r="U147" s="47"/>
      <c r="V147" s="43">
        <f t="shared" si="4"/>
        <v>0</v>
      </c>
      <c r="W147" s="43"/>
      <c r="X147" s="273">
        <f t="shared" si="2"/>
        <v>0</v>
      </c>
      <c r="Y147" s="273"/>
      <c r="Z147" s="273">
        <f t="shared" si="3"/>
        <v>0</v>
      </c>
      <c r="AA147" s="273"/>
      <c r="AB147" s="43"/>
      <c r="AC147" s="44">
        <f>ROUND(IF($U147&lt;&gt;"",$U147,$N147)*($F147-$G147),6)</f>
        <v>0</v>
      </c>
      <c r="AD147" s="249"/>
    </row>
    <row r="148" spans="1:30" ht="15" x14ac:dyDescent="0.2">
      <c r="A148" s="188"/>
      <c r="B148" s="250" t="s">
        <v>196</v>
      </c>
      <c r="C148" s="210" t="s">
        <v>149</v>
      </c>
      <c r="D148" s="211" t="s">
        <v>27</v>
      </c>
      <c r="E148" s="199"/>
      <c r="F148" s="154"/>
      <c r="G148" s="155"/>
      <c r="H148" s="51"/>
      <c r="I148" s="50"/>
      <c r="J148" s="50"/>
      <c r="K148" s="48"/>
      <c r="L148" s="87"/>
      <c r="M148" s="87"/>
      <c r="N148" s="57">
        <v>6.6319999999999997</v>
      </c>
      <c r="O148" s="130"/>
      <c r="P148" s="130"/>
      <c r="Q148" s="130"/>
      <c r="R148" s="56" t="str">
        <f t="shared" si="5"/>
        <v>na</v>
      </c>
      <c r="S148" s="273"/>
      <c r="T148" s="273"/>
      <c r="U148" s="47"/>
      <c r="V148" s="43">
        <f t="shared" si="4"/>
        <v>0</v>
      </c>
      <c r="W148" s="43"/>
      <c r="X148" s="273">
        <f t="shared" si="2"/>
        <v>0</v>
      </c>
      <c r="Y148" s="273"/>
      <c r="Z148" s="273">
        <f t="shared" si="3"/>
        <v>0</v>
      </c>
      <c r="AA148" s="273"/>
      <c r="AB148" s="43"/>
      <c r="AC148" s="44">
        <f>ROUND(IF($U148&lt;&gt;"",$U148,$N148)*($F148-$G148),6)</f>
        <v>0</v>
      </c>
      <c r="AD148" s="249"/>
    </row>
    <row r="149" spans="1:30" ht="15" x14ac:dyDescent="0.2">
      <c r="A149" s="188"/>
      <c r="B149" s="250" t="s">
        <v>196</v>
      </c>
      <c r="C149" s="210" t="s">
        <v>150</v>
      </c>
      <c r="D149" s="211" t="s">
        <v>27</v>
      </c>
      <c r="E149" s="199"/>
      <c r="F149" s="154"/>
      <c r="G149" s="155"/>
      <c r="H149" s="51"/>
      <c r="I149" s="50"/>
      <c r="J149" s="50"/>
      <c r="K149" s="48"/>
      <c r="L149" s="87"/>
      <c r="M149" s="87"/>
      <c r="N149" s="57">
        <v>16.5</v>
      </c>
      <c r="O149" s="130"/>
      <c r="P149" s="130"/>
      <c r="Q149" s="130"/>
      <c r="R149" s="56" t="str">
        <f t="shared" si="5"/>
        <v>na</v>
      </c>
      <c r="S149" s="273"/>
      <c r="T149" s="273"/>
      <c r="U149" s="47"/>
      <c r="V149" s="43">
        <f t="shared" si="4"/>
        <v>0</v>
      </c>
      <c r="W149" s="43"/>
      <c r="X149" s="273">
        <f t="shared" si="2"/>
        <v>0</v>
      </c>
      <c r="Y149" s="273"/>
      <c r="Z149" s="273">
        <f t="shared" si="3"/>
        <v>0</v>
      </c>
      <c r="AA149" s="273"/>
      <c r="AB149" s="43"/>
      <c r="AC149" s="44">
        <f>ROUND(IF($U149&lt;&gt;"",$U149,$N149)*($F149-$G149),6)</f>
        <v>0</v>
      </c>
      <c r="AD149" s="249"/>
    </row>
    <row r="150" spans="1:30" ht="15" x14ac:dyDescent="0.2">
      <c r="A150" s="188"/>
      <c r="B150" s="250" t="s">
        <v>196</v>
      </c>
      <c r="C150" s="210" t="s">
        <v>151</v>
      </c>
      <c r="D150" s="211" t="s">
        <v>27</v>
      </c>
      <c r="E150" s="199"/>
      <c r="F150" s="154"/>
      <c r="G150" s="155"/>
      <c r="H150" s="51"/>
      <c r="I150" s="50"/>
      <c r="J150" s="50"/>
      <c r="K150" s="48"/>
      <c r="L150" s="87"/>
      <c r="M150" s="87"/>
      <c r="N150" s="57">
        <v>3.8180000000000001</v>
      </c>
      <c r="O150" s="130"/>
      <c r="P150" s="130"/>
      <c r="Q150" s="130"/>
      <c r="R150" s="56" t="str">
        <f t="shared" si="5"/>
        <v>na</v>
      </c>
      <c r="S150" s="273"/>
      <c r="T150" s="273"/>
      <c r="U150" s="47"/>
      <c r="V150" s="43">
        <f t="shared" si="4"/>
        <v>0</v>
      </c>
      <c r="W150" s="43"/>
      <c r="X150" s="273">
        <f t="shared" si="2"/>
        <v>0</v>
      </c>
      <c r="Y150" s="273"/>
      <c r="Z150" s="273">
        <f t="shared" si="3"/>
        <v>0</v>
      </c>
      <c r="AA150" s="273"/>
      <c r="AB150" s="43"/>
      <c r="AC150" s="44">
        <f>ROUND(IF($U150&lt;&gt;"",$U150,$N150)*($F150-$G150),6)</f>
        <v>0</v>
      </c>
      <c r="AD150" s="249"/>
    </row>
    <row r="151" spans="1:30" ht="15" x14ac:dyDescent="0.2">
      <c r="A151" s="188"/>
      <c r="B151" s="250" t="s">
        <v>193</v>
      </c>
      <c r="C151" s="210" t="s">
        <v>152</v>
      </c>
      <c r="D151" s="211" t="s">
        <v>27</v>
      </c>
      <c r="E151" s="199"/>
      <c r="F151" s="154"/>
      <c r="G151" s="155"/>
      <c r="H151" s="51"/>
      <c r="I151" s="50"/>
      <c r="J151" s="50"/>
      <c r="K151" s="48"/>
      <c r="L151" s="87"/>
      <c r="M151" s="87"/>
      <c r="N151" s="57" t="s">
        <v>185</v>
      </c>
      <c r="O151" s="130"/>
      <c r="P151" s="130"/>
      <c r="Q151" s="130"/>
      <c r="R151" s="56" t="str">
        <f t="shared" si="5"/>
        <v>na</v>
      </c>
      <c r="S151" s="273"/>
      <c r="T151" s="273"/>
      <c r="U151" s="47"/>
      <c r="V151" s="43">
        <f t="shared" si="4"/>
        <v>0</v>
      </c>
      <c r="W151" s="43"/>
      <c r="X151" s="273">
        <f t="shared" si="2"/>
        <v>0</v>
      </c>
      <c r="Y151" s="273"/>
      <c r="Z151" s="273">
        <f t="shared" si="3"/>
        <v>0</v>
      </c>
      <c r="AA151" s="273"/>
      <c r="AB151" s="43"/>
      <c r="AC151" s="44">
        <f>ROUND(IF($U151&lt;&gt;"na",$U151,$N151)*($F151-$G151),6)</f>
        <v>0</v>
      </c>
      <c r="AD151" s="249"/>
    </row>
    <row r="152" spans="1:30" ht="15" x14ac:dyDescent="0.2">
      <c r="A152" s="188"/>
      <c r="B152" s="250" t="s">
        <v>196</v>
      </c>
      <c r="C152" s="210" t="s">
        <v>153</v>
      </c>
      <c r="D152" s="211" t="s">
        <v>27</v>
      </c>
      <c r="E152" s="199"/>
      <c r="F152" s="154"/>
      <c r="G152" s="155"/>
      <c r="H152" s="51"/>
      <c r="I152" s="50"/>
      <c r="J152" s="50"/>
      <c r="K152" s="48"/>
      <c r="L152" s="87"/>
      <c r="M152" s="87"/>
      <c r="N152" s="57">
        <v>28.2</v>
      </c>
      <c r="O152" s="130"/>
      <c r="P152" s="130"/>
      <c r="Q152" s="130"/>
      <c r="R152" s="56" t="str">
        <f t="shared" si="5"/>
        <v>na</v>
      </c>
      <c r="S152" s="273"/>
      <c r="T152" s="273"/>
      <c r="U152" s="47"/>
      <c r="V152" s="43">
        <f t="shared" si="4"/>
        <v>0</v>
      </c>
      <c r="W152" s="43"/>
      <c r="X152" s="273">
        <f t="shared" si="2"/>
        <v>0</v>
      </c>
      <c r="Y152" s="273"/>
      <c r="Z152" s="273">
        <f t="shared" si="3"/>
        <v>0</v>
      </c>
      <c r="AA152" s="273"/>
      <c r="AB152" s="43"/>
      <c r="AC152" s="44">
        <f>ROUND(IF($U152&lt;&gt;"",$U152,$N152)*($F152-$G152),6)</f>
        <v>0</v>
      </c>
      <c r="AD152" s="249"/>
    </row>
    <row r="153" spans="1:30" ht="15" x14ac:dyDescent="0.2">
      <c r="A153" s="188"/>
      <c r="B153" s="250" t="s">
        <v>196</v>
      </c>
      <c r="C153" s="210" t="s">
        <v>154</v>
      </c>
      <c r="D153" s="211" t="s">
        <v>27</v>
      </c>
      <c r="E153" s="199"/>
      <c r="F153" s="154"/>
      <c r="G153" s="155"/>
      <c r="H153" s="51"/>
      <c r="I153" s="50"/>
      <c r="J153" s="50"/>
      <c r="K153" s="48"/>
      <c r="L153" s="87"/>
      <c r="M153" s="87"/>
      <c r="N153" s="57">
        <v>5.09</v>
      </c>
      <c r="O153" s="130"/>
      <c r="P153" s="130"/>
      <c r="Q153" s="130"/>
      <c r="R153" s="56" t="str">
        <f t="shared" si="5"/>
        <v>na</v>
      </c>
      <c r="S153" s="273"/>
      <c r="T153" s="273"/>
      <c r="U153" s="47"/>
      <c r="V153" s="43">
        <f t="shared" si="4"/>
        <v>0</v>
      </c>
      <c r="W153" s="43"/>
      <c r="X153" s="273">
        <f t="shared" si="2"/>
        <v>0</v>
      </c>
      <c r="Y153" s="273"/>
      <c r="Z153" s="273">
        <f t="shared" si="3"/>
        <v>0</v>
      </c>
      <c r="AA153" s="273"/>
      <c r="AB153" s="43"/>
      <c r="AC153" s="44">
        <f>ROUND(IF($U153&lt;&gt;"",$U153,$N153)*($F153-$G153),6)</f>
        <v>0</v>
      </c>
      <c r="AD153" s="249"/>
    </row>
    <row r="154" spans="1:30" ht="15" x14ac:dyDescent="0.2">
      <c r="A154" s="188"/>
      <c r="B154" s="250" t="s">
        <v>193</v>
      </c>
      <c r="C154" s="210" t="s">
        <v>155</v>
      </c>
      <c r="D154" s="211" t="s">
        <v>27</v>
      </c>
      <c r="E154" s="199"/>
      <c r="F154" s="154"/>
      <c r="G154" s="155"/>
      <c r="H154" s="51"/>
      <c r="I154" s="50"/>
      <c r="J154" s="50"/>
      <c r="K154" s="48"/>
      <c r="L154" s="87"/>
      <c r="M154" s="87"/>
      <c r="N154" s="57" t="s">
        <v>185</v>
      </c>
      <c r="O154" s="130"/>
      <c r="P154" s="130"/>
      <c r="Q154" s="130"/>
      <c r="R154" s="56" t="str">
        <f t="shared" si="5"/>
        <v>na</v>
      </c>
      <c r="S154" s="273"/>
      <c r="T154" s="273"/>
      <c r="U154" s="47"/>
      <c r="V154" s="43">
        <f t="shared" si="4"/>
        <v>0</v>
      </c>
      <c r="W154" s="43"/>
      <c r="X154" s="273">
        <f t="shared" si="2"/>
        <v>0</v>
      </c>
      <c r="Y154" s="273"/>
      <c r="Z154" s="273">
        <f t="shared" si="3"/>
        <v>0</v>
      </c>
      <c r="AA154" s="273"/>
      <c r="AB154" s="43"/>
      <c r="AC154" s="44">
        <f>ROUND(IF($U154&lt;&gt;"na",$U154,$N154)*($F154-$G154),6)</f>
        <v>0</v>
      </c>
      <c r="AD154" s="249"/>
    </row>
    <row r="155" spans="1:30" ht="15" x14ac:dyDescent="0.2">
      <c r="A155" s="35"/>
      <c r="B155" s="250" t="s">
        <v>48</v>
      </c>
      <c r="C155" s="210" t="s">
        <v>48</v>
      </c>
      <c r="D155" s="211" t="s">
        <v>49</v>
      </c>
      <c r="E155" s="199"/>
      <c r="F155" s="154"/>
      <c r="G155" s="155"/>
      <c r="H155" s="51"/>
      <c r="I155" s="50">
        <v>9.8000000000000007</v>
      </c>
      <c r="J155" s="58"/>
      <c r="K155" s="58"/>
      <c r="L155" s="88" t="s">
        <v>95</v>
      </c>
      <c r="M155" s="88" t="s">
        <v>95</v>
      </c>
      <c r="N155" s="60">
        <v>0.504</v>
      </c>
      <c r="O155" s="130"/>
      <c r="P155" s="130"/>
      <c r="Q155" s="130"/>
      <c r="R155" s="58"/>
      <c r="S155" s="273"/>
      <c r="T155" s="273"/>
      <c r="U155" s="47">
        <v>0.79800000000000004</v>
      </c>
      <c r="V155" s="43">
        <f t="shared" si="4"/>
        <v>0</v>
      </c>
      <c r="W155" s="43"/>
      <c r="X155" s="273">
        <f t="shared" si="2"/>
        <v>0</v>
      </c>
      <c r="Y155" s="273"/>
      <c r="Z155" s="273">
        <f t="shared" si="3"/>
        <v>0</v>
      </c>
      <c r="AA155" s="273"/>
      <c r="AB155" s="92">
        <f>ROUND($U155*($F155-$G155),6)</f>
        <v>0</v>
      </c>
      <c r="AC155" s="44"/>
      <c r="AD155" s="249"/>
    </row>
    <row r="156" spans="1:30" ht="15" x14ac:dyDescent="0.2">
      <c r="A156" s="35"/>
      <c r="B156" s="250" t="s">
        <v>198</v>
      </c>
      <c r="C156" s="210" t="s">
        <v>50</v>
      </c>
      <c r="D156" s="211" t="s">
        <v>27</v>
      </c>
      <c r="E156" s="199"/>
      <c r="F156" s="154"/>
      <c r="G156" s="155"/>
      <c r="H156" s="49"/>
      <c r="I156" s="48">
        <v>3.8</v>
      </c>
      <c r="J156" s="58"/>
      <c r="K156" s="58"/>
      <c r="L156" s="88" t="s">
        <v>95</v>
      </c>
      <c r="M156" s="88" t="s">
        <v>95</v>
      </c>
      <c r="N156" s="57">
        <f>ROUND(IF(I156&gt;0,I156,3.8)*0.0514,3)</f>
        <v>0.19500000000000001</v>
      </c>
      <c r="O156" s="130"/>
      <c r="P156" s="130"/>
      <c r="Q156" s="130"/>
      <c r="R156" s="58"/>
      <c r="S156" s="273"/>
      <c r="T156" s="273"/>
      <c r="U156" s="56">
        <f>ROUND(IF(P156&gt;0,P156,I156)*IF(U155&gt;0,U155,N155)/IF(P155&gt;0,P155,I155),3)</f>
        <v>0.309</v>
      </c>
      <c r="V156" s="43">
        <f t="shared" si="4"/>
        <v>0</v>
      </c>
      <c r="W156" s="43"/>
      <c r="X156" s="273">
        <f t="shared" si="2"/>
        <v>0</v>
      </c>
      <c r="Y156" s="273"/>
      <c r="Z156" s="273">
        <f t="shared" si="3"/>
        <v>0</v>
      </c>
      <c r="AA156" s="273"/>
      <c r="AB156" s="92">
        <f>ROUND($U156*($F156-$G156),6)</f>
        <v>0</v>
      </c>
      <c r="AC156" s="44"/>
      <c r="AD156" s="249"/>
    </row>
    <row r="157" spans="1:30" ht="17" x14ac:dyDescent="0.2">
      <c r="A157" s="35"/>
      <c r="B157" s="250" t="s">
        <v>199</v>
      </c>
      <c r="C157" s="210" t="s">
        <v>51</v>
      </c>
      <c r="D157" s="211" t="s">
        <v>115</v>
      </c>
      <c r="E157" s="199"/>
      <c r="F157" s="154"/>
      <c r="G157" s="155"/>
      <c r="H157" s="49"/>
      <c r="I157" s="48">
        <v>6.9</v>
      </c>
      <c r="J157" s="58"/>
      <c r="K157" s="58"/>
      <c r="L157" s="88" t="s">
        <v>95</v>
      </c>
      <c r="M157" s="88" t="s">
        <v>95</v>
      </c>
      <c r="N157" s="57">
        <f>ROUND(IF(I157&gt;0,I157,6.9)*0.0514,3)</f>
        <v>0.35499999999999998</v>
      </c>
      <c r="O157" s="130"/>
      <c r="P157" s="130"/>
      <c r="Q157" s="130"/>
      <c r="R157" s="58"/>
      <c r="S157" s="273"/>
      <c r="T157" s="273"/>
      <c r="U157" s="56">
        <f>ROUND(IF(P157&gt;0,P157,I157)*IF(U155&gt;0,U155,N155)/IF(P155&gt;0,P155,I155),3)</f>
        <v>0.56200000000000006</v>
      </c>
      <c r="V157" s="43">
        <f t="shared" si="4"/>
        <v>0</v>
      </c>
      <c r="W157" s="43"/>
      <c r="X157" s="273">
        <f t="shared" si="2"/>
        <v>0</v>
      </c>
      <c r="Y157" s="273"/>
      <c r="Z157" s="273">
        <f t="shared" si="3"/>
        <v>0</v>
      </c>
      <c r="AA157" s="273"/>
      <c r="AB157" s="43"/>
      <c r="AC157" s="129">
        <f>ROUND($U157*($F157-$G157),6)</f>
        <v>0</v>
      </c>
      <c r="AD157" s="249"/>
    </row>
    <row r="158" spans="1:30" ht="17" x14ac:dyDescent="0.2">
      <c r="A158" s="35"/>
      <c r="B158" s="250" t="s">
        <v>199</v>
      </c>
      <c r="C158" s="210" t="s">
        <v>52</v>
      </c>
      <c r="D158" s="211" t="s">
        <v>115</v>
      </c>
      <c r="E158" s="199"/>
      <c r="F158" s="154"/>
      <c r="G158" s="155"/>
      <c r="H158" s="49"/>
      <c r="I158" s="48">
        <v>2</v>
      </c>
      <c r="J158" s="58"/>
      <c r="K158" s="48"/>
      <c r="L158" s="87" t="s">
        <v>95</v>
      </c>
      <c r="M158" s="87" t="s">
        <v>95</v>
      </c>
      <c r="N158" s="57">
        <f>ROUND(IF(I158&gt;0,I158,2)*0.0514,3)</f>
        <v>0.10299999999999999</v>
      </c>
      <c r="O158" s="130"/>
      <c r="P158" s="130"/>
      <c r="Q158" s="130"/>
      <c r="R158" s="48"/>
      <c r="S158" s="273"/>
      <c r="T158" s="273"/>
      <c r="U158" s="56">
        <f>ROUND(IF(P158&gt;0,P158,I158)*IF(U155&gt;0,U155,N155)/IF(P155&gt;0,P155,I155),3)</f>
        <v>0.16300000000000001</v>
      </c>
      <c r="V158" s="43">
        <f t="shared" si="4"/>
        <v>0</v>
      </c>
      <c r="W158" s="43"/>
      <c r="X158" s="273">
        <f t="shared" ref="X158:X173" si="8">IFERROR(ROUND(IF($S158&lt;&gt;"",$S158,$L158)*($E158+$F158-$G158),6),0)</f>
        <v>0</v>
      </c>
      <c r="Y158" s="273"/>
      <c r="Z158" s="273">
        <f t="shared" ref="Z158:Z173" si="9">IFERROR(ROUND(IF($T158&lt;&gt;"",$T158,$M158)*($E158+$F158-$G158),6),0)</f>
        <v>0</v>
      </c>
      <c r="AA158" s="273"/>
      <c r="AB158" s="43"/>
      <c r="AC158" s="129">
        <f>ROUND($U158*($F158-$G158),6)</f>
        <v>0</v>
      </c>
      <c r="AD158" s="249"/>
    </row>
    <row r="159" spans="1:30" ht="17" x14ac:dyDescent="0.2">
      <c r="A159" s="35"/>
      <c r="B159" s="250" t="s">
        <v>199</v>
      </c>
      <c r="C159" s="210" t="s">
        <v>53</v>
      </c>
      <c r="D159" s="211" t="s">
        <v>115</v>
      </c>
      <c r="E159" s="383"/>
      <c r="F159" s="154"/>
      <c r="G159" s="155"/>
      <c r="H159" s="49"/>
      <c r="I159" s="48">
        <v>2</v>
      </c>
      <c r="J159" s="58"/>
      <c r="K159" s="48"/>
      <c r="L159" s="87" t="s">
        <v>95</v>
      </c>
      <c r="M159" s="87" t="s">
        <v>95</v>
      </c>
      <c r="N159" s="57">
        <f>ROUND(IF(I159&gt;0,I159,2)*0.0514,3)</f>
        <v>0.10299999999999999</v>
      </c>
      <c r="O159" s="130"/>
      <c r="P159" s="130"/>
      <c r="Q159" s="130"/>
      <c r="R159" s="48"/>
      <c r="S159" s="273"/>
      <c r="T159" s="273"/>
      <c r="U159" s="56">
        <f>ROUND(IF(P159&gt;0,P159,I159)*IF(U155&gt;0,U155,N155)/IF(P155&gt;0,P155,I155),3)</f>
        <v>0.16300000000000001</v>
      </c>
      <c r="V159" s="43">
        <f t="shared" si="4"/>
        <v>0</v>
      </c>
      <c r="W159" s="43"/>
      <c r="X159" s="273">
        <f t="shared" si="8"/>
        <v>0</v>
      </c>
      <c r="Y159" s="273"/>
      <c r="Z159" s="273">
        <f t="shared" si="9"/>
        <v>0</v>
      </c>
      <c r="AA159" s="273"/>
      <c r="AB159" s="43"/>
      <c r="AC159" s="129">
        <f>ROUND($U159*($F159-$G159),6)</f>
        <v>0</v>
      </c>
      <c r="AD159" s="249"/>
    </row>
    <row r="160" spans="1:30" ht="17" x14ac:dyDescent="0.2">
      <c r="A160" s="35"/>
      <c r="B160" s="250" t="s">
        <v>198</v>
      </c>
      <c r="C160" s="210" t="s">
        <v>63</v>
      </c>
      <c r="D160" s="211" t="s">
        <v>115</v>
      </c>
      <c r="E160" s="384">
        <f>F64</f>
        <v>0</v>
      </c>
      <c r="F160" s="382"/>
      <c r="G160" s="155"/>
      <c r="H160" s="51"/>
      <c r="I160" s="50">
        <v>19</v>
      </c>
      <c r="J160" s="50">
        <f>ROUND(0.836*12.011/44.01,3)</f>
        <v>0.22800000000000001</v>
      </c>
      <c r="K160" s="48">
        <f>ROUND(IF(J160&gt;0,44.01*J160/12.011,IF(H160&gt;0, H160,19)*0.044),3)</f>
        <v>0.83499999999999996</v>
      </c>
      <c r="L160" s="87">
        <v>1.9000000000000001E-5</v>
      </c>
      <c r="M160" s="87">
        <v>1.9999999999999999E-6</v>
      </c>
      <c r="N160" s="57">
        <f>ROUND(IF(I160&gt;0,I160,19)*IF(N155&gt;0,N155,0.504)/IF(I155&gt;0,I155,9.8),3)</f>
        <v>0.97699999999999998</v>
      </c>
      <c r="O160" s="130"/>
      <c r="P160" s="130"/>
      <c r="Q160" s="130"/>
      <c r="R160" s="56" t="str">
        <f>IF(Q160&gt;0,ROUND(44.01*Q160/12.011,6),IF(SUM(O160,P160)&gt;0, ROUND(SUM(O160,P160)*0.044,6),"na"))</f>
        <v>na</v>
      </c>
      <c r="S160" s="273"/>
      <c r="T160" s="273"/>
      <c r="U160" s="56">
        <f>ROUND(IF(P160&gt;0,P160,I160)*IF(U155&gt;0,U155,N155)/IF(P155&gt;0,P155,I155),3)</f>
        <v>1.5469999999999999</v>
      </c>
      <c r="V160" s="43">
        <f t="shared" si="4"/>
        <v>0</v>
      </c>
      <c r="W160" s="43">
        <f>ROUND(IF($R160&lt;&gt;"na",-$R160,-$K160)*($F160-$G160),6)</f>
        <v>0</v>
      </c>
      <c r="X160" s="273">
        <f t="shared" si="8"/>
        <v>0</v>
      </c>
      <c r="Y160" s="273">
        <f>IFERROR(ROUND(IF($S160&lt;&gt;"",-$S160,-$L160)*($E160+$F160-$G160),6),0)</f>
        <v>0</v>
      </c>
      <c r="Z160" s="273">
        <f t="shared" si="9"/>
        <v>0</v>
      </c>
      <c r="AA160" s="273">
        <f>IFERROR(ROUND(IF($T160&lt;&gt;"",-$T160,-$M160)*($E160+$F160-$G160),6),0)</f>
        <v>0</v>
      </c>
      <c r="AB160" s="92">
        <f>ROUND($U160*($F160-$G160),6)</f>
        <v>0</v>
      </c>
      <c r="AC160" s="44"/>
      <c r="AD160" s="249"/>
    </row>
    <row r="161" spans="1:33" ht="17" x14ac:dyDescent="0.2">
      <c r="A161" s="35"/>
      <c r="B161" s="250" t="s">
        <v>198</v>
      </c>
      <c r="C161" s="210" t="s">
        <v>54</v>
      </c>
      <c r="D161" s="211" t="s">
        <v>115</v>
      </c>
      <c r="E161" s="384">
        <f>F65</f>
        <v>0</v>
      </c>
      <c r="F161" s="382"/>
      <c r="G161" s="155"/>
      <c r="H161" s="51"/>
      <c r="I161" s="50">
        <v>3.3</v>
      </c>
      <c r="J161" s="50">
        <f>ROUND(0.891*12.011/44.01,3)</f>
        <v>0.24299999999999999</v>
      </c>
      <c r="K161" s="48">
        <f>ROUND(IF(J161&gt;0,44.01*J161/12.011,IF(H161&gt;0,H161,3.3)*0.27),3)</f>
        <v>0.89</v>
      </c>
      <c r="L161" s="87">
        <v>3.0000000000000001E-6</v>
      </c>
      <c r="M161" s="87">
        <v>9.9999999999999995E-7</v>
      </c>
      <c r="N161" s="57">
        <f>ROUND(IF(I161&gt;0,I161,3.3)*IF(N155&gt;0,N155,0.504)/IF(I155&gt;0,I155,9.8),3)</f>
        <v>0.17</v>
      </c>
      <c r="O161" s="130"/>
      <c r="P161" s="130"/>
      <c r="Q161" s="130"/>
      <c r="R161" s="56" t="str">
        <f>IF(Q161&gt;0,ROUND(44.01*Q161/12.011,6),IF(SUM(O161,P161)&gt;0,ROUND(SUM(O161,P161)*0.27,6),"na"))</f>
        <v>na</v>
      </c>
      <c r="S161" s="273"/>
      <c r="T161" s="273"/>
      <c r="U161" s="56">
        <f>ROUND(IF(P161&gt;0,P161,I161)*IF(U155&gt;0,U155,N155)/IF(P155&gt;0,P155,I155),3)</f>
        <v>0.26900000000000002</v>
      </c>
      <c r="V161" s="43">
        <f t="shared" si="4"/>
        <v>0</v>
      </c>
      <c r="W161" s="43">
        <f>ROUND(IF($R161&lt;&gt;"na",-$R161,-$K161)*($F161-$G161),6)</f>
        <v>0</v>
      </c>
      <c r="X161" s="273">
        <f t="shared" si="8"/>
        <v>0</v>
      </c>
      <c r="Y161" s="273">
        <f t="shared" ref="Y161:Y162" si="10">IFERROR(ROUND(IF($S161&lt;&gt;"",-$S161,-$L161)*($E161+$F161-$G161),6),0)</f>
        <v>0</v>
      </c>
      <c r="Z161" s="273">
        <f t="shared" si="9"/>
        <v>0</v>
      </c>
      <c r="AA161" s="273">
        <f t="shared" ref="AA161:AA162" si="11">IFERROR(ROUND(IF($T161&lt;&gt;"",-$T161,-$M161)*($E161+$F161-$G161),6),0)</f>
        <v>0</v>
      </c>
      <c r="AB161" s="92">
        <f>ROUND($U161*($F161-$G161),6)</f>
        <v>0</v>
      </c>
      <c r="AC161" s="44"/>
      <c r="AD161" s="249"/>
    </row>
    <row r="162" spans="1:33" ht="17" x14ac:dyDescent="0.2">
      <c r="A162" s="35"/>
      <c r="B162" s="250" t="s">
        <v>198</v>
      </c>
      <c r="C162" s="210" t="s">
        <v>55</v>
      </c>
      <c r="D162" s="211" t="s">
        <v>115</v>
      </c>
      <c r="E162" s="384">
        <f>F66</f>
        <v>0</v>
      </c>
      <c r="F162" s="382"/>
      <c r="G162" s="155"/>
      <c r="H162" s="51"/>
      <c r="I162" s="50">
        <v>8.4</v>
      </c>
      <c r="J162" s="50">
        <f>ROUND(1.512*12.011/44.01,3)</f>
        <v>0.41299999999999998</v>
      </c>
      <c r="K162" s="48">
        <f>ROUND(IF(J162&gt;0,44.01*J162/12.011,IF(H162&gt;0, H162,8.4)*0.18),3)</f>
        <v>1.5129999999999999</v>
      </c>
      <c r="L162" s="87">
        <v>7.9999999999999996E-6</v>
      </c>
      <c r="M162" s="87">
        <v>9.9999999999999995E-7</v>
      </c>
      <c r="N162" s="57">
        <f>ROUND(IF(I162&gt;0,I162,8.4)*IF(N155&gt;0,N155,0.504)/IF(I155&gt;0,I155,9.8),3)</f>
        <v>0.432</v>
      </c>
      <c r="O162" s="130"/>
      <c r="P162" s="130"/>
      <c r="Q162" s="130"/>
      <c r="R162" s="56" t="str">
        <f>IF(Q162&gt;0,ROUND(44.01*Q162/12.011,6),IF(SUM(O162,P162)&gt;0, ROUND(SUM(O162,P162)*0.18,6),"na"))</f>
        <v>na</v>
      </c>
      <c r="S162" s="273"/>
      <c r="T162" s="273"/>
      <c r="U162" s="56">
        <f>ROUND(IF(P162&gt;0,P162,I162)*IF(U155&gt;0,U155,N155)/IF(P155&gt;0,P155,I155),3)</f>
        <v>0.68400000000000005</v>
      </c>
      <c r="V162" s="43">
        <f t="shared" si="4"/>
        <v>0</v>
      </c>
      <c r="W162" s="43">
        <f>ROUND(IF($R162&lt;&gt;"na",-$R162,-$K162)*($F162-$G162),6)</f>
        <v>0</v>
      </c>
      <c r="X162" s="273">
        <f t="shared" si="8"/>
        <v>0</v>
      </c>
      <c r="Y162" s="273">
        <f t="shared" si="10"/>
        <v>0</v>
      </c>
      <c r="Z162" s="273">
        <f t="shared" si="9"/>
        <v>0</v>
      </c>
      <c r="AA162" s="273">
        <f t="shared" si="11"/>
        <v>0</v>
      </c>
      <c r="AB162" s="92">
        <f>ROUND($U162*($F162-$G162),6)</f>
        <v>0</v>
      </c>
      <c r="AC162" s="44"/>
      <c r="AD162" s="249"/>
    </row>
    <row r="163" spans="1:33" ht="15" x14ac:dyDescent="0.2">
      <c r="A163" s="35"/>
      <c r="B163" s="250" t="s">
        <v>198</v>
      </c>
      <c r="C163" s="210" t="s">
        <v>71</v>
      </c>
      <c r="D163" s="211" t="s">
        <v>58</v>
      </c>
      <c r="E163" s="199"/>
      <c r="F163" s="154"/>
      <c r="G163" s="155"/>
      <c r="H163" s="51"/>
      <c r="I163" s="50">
        <v>1</v>
      </c>
      <c r="J163" s="50"/>
      <c r="K163" s="48"/>
      <c r="L163" s="87" t="s">
        <v>95</v>
      </c>
      <c r="M163" s="87" t="s">
        <v>95</v>
      </c>
      <c r="N163" s="57">
        <f>ROUND(I163*IF(N155&gt;0,N155,0.504)/IF(I155&gt;0,I155,9.8),3)</f>
        <v>5.0999999999999997E-2</v>
      </c>
      <c r="O163" s="130"/>
      <c r="P163" s="130"/>
      <c r="Q163" s="130"/>
      <c r="R163" s="48"/>
      <c r="S163" s="273"/>
      <c r="T163" s="273"/>
      <c r="U163" s="56">
        <f>ROUND(IF(P163&gt;0,P163,I163)*IF(U155&gt;0,U155,N155)/IF(P155&gt;0,P155,I155),3)</f>
        <v>8.1000000000000003E-2</v>
      </c>
      <c r="V163" s="43">
        <f t="shared" si="4"/>
        <v>0</v>
      </c>
      <c r="W163" s="43"/>
      <c r="X163" s="273">
        <f t="shared" si="8"/>
        <v>0</v>
      </c>
      <c r="Y163" s="273"/>
      <c r="Z163" s="273">
        <f t="shared" si="9"/>
        <v>0</v>
      </c>
      <c r="AA163" s="273"/>
      <c r="AB163" s="92">
        <f>ROUND($U163*($F163-$G163),6)</f>
        <v>0</v>
      </c>
      <c r="AC163" s="44"/>
      <c r="AD163" s="249"/>
    </row>
    <row r="164" spans="1:33" ht="17" x14ac:dyDescent="0.2">
      <c r="A164" s="35"/>
      <c r="B164" s="250" t="s">
        <v>131</v>
      </c>
      <c r="C164" s="210" t="s">
        <v>82</v>
      </c>
      <c r="D164" s="211" t="s">
        <v>112</v>
      </c>
      <c r="E164" s="199"/>
      <c r="F164" s="154"/>
      <c r="G164" s="155"/>
      <c r="H164" s="51"/>
      <c r="I164" s="50">
        <v>23.574999999999999</v>
      </c>
      <c r="J164" s="50">
        <f>ROUND(0.52*0.789,3)</f>
        <v>0.41</v>
      </c>
      <c r="K164" s="48"/>
      <c r="L164" s="87" t="s">
        <v>95</v>
      </c>
      <c r="M164" s="87" t="s">
        <v>95</v>
      </c>
      <c r="N164" s="57">
        <v>1.494</v>
      </c>
      <c r="O164" s="130"/>
      <c r="P164" s="130"/>
      <c r="Q164" s="130"/>
      <c r="R164" s="48"/>
      <c r="S164" s="273"/>
      <c r="T164" s="273"/>
      <c r="U164" s="47"/>
      <c r="V164" s="43">
        <f t="shared" si="4"/>
        <v>0</v>
      </c>
      <c r="W164" s="43"/>
      <c r="X164" s="273">
        <f t="shared" si="8"/>
        <v>0</v>
      </c>
      <c r="Y164" s="273"/>
      <c r="Z164" s="273">
        <f t="shared" si="9"/>
        <v>0</v>
      </c>
      <c r="AA164" s="273"/>
      <c r="AB164" s="92"/>
      <c r="AC164" s="44">
        <f t="shared" ref="AC164:AC173" si="12">ROUND(IF($U164&lt;&gt;"",$U164,$N164)*($F164-$G164),6)</f>
        <v>0</v>
      </c>
      <c r="AD164" s="249"/>
    </row>
    <row r="165" spans="1:33" ht="17" x14ac:dyDescent="0.2">
      <c r="A165" s="35"/>
      <c r="B165" s="250" t="s">
        <v>131</v>
      </c>
      <c r="C165" s="210" t="s">
        <v>83</v>
      </c>
      <c r="D165" s="211" t="s">
        <v>112</v>
      </c>
      <c r="E165" s="199"/>
      <c r="F165" s="154"/>
      <c r="G165" s="155"/>
      <c r="H165" s="51"/>
      <c r="I165" s="50">
        <v>15.662000000000001</v>
      </c>
      <c r="J165" s="50">
        <f>ROUND(0.37*0.791,3)</f>
        <v>0.29299999999999998</v>
      </c>
      <c r="K165" s="48"/>
      <c r="L165" s="87" t="s">
        <v>95</v>
      </c>
      <c r="M165" s="87" t="s">
        <v>95</v>
      </c>
      <c r="N165" s="57">
        <f>ROUND(0.0688*19.9,3)</f>
        <v>1.369</v>
      </c>
      <c r="O165" s="130"/>
      <c r="P165" s="130"/>
      <c r="Q165" s="130"/>
      <c r="R165" s="48"/>
      <c r="S165" s="273"/>
      <c r="T165" s="273"/>
      <c r="U165" s="47"/>
      <c r="V165" s="43">
        <f t="shared" si="4"/>
        <v>0</v>
      </c>
      <c r="W165" s="43"/>
      <c r="X165" s="273">
        <f t="shared" si="8"/>
        <v>0</v>
      </c>
      <c r="Y165" s="273"/>
      <c r="Z165" s="273">
        <f t="shared" si="9"/>
        <v>0</v>
      </c>
      <c r="AA165" s="273"/>
      <c r="AB165" s="43"/>
      <c r="AC165" s="44">
        <f t="shared" si="12"/>
        <v>0</v>
      </c>
      <c r="AD165" s="249"/>
    </row>
    <row r="166" spans="1:33" ht="15" x14ac:dyDescent="0.2">
      <c r="A166" s="35"/>
      <c r="B166" s="250" t="s">
        <v>131</v>
      </c>
      <c r="C166" s="210" t="s">
        <v>81</v>
      </c>
      <c r="D166" s="211" t="s">
        <v>27</v>
      </c>
      <c r="E166" s="199"/>
      <c r="F166" s="154"/>
      <c r="G166" s="155"/>
      <c r="H166" s="51"/>
      <c r="I166" s="50">
        <v>37.5</v>
      </c>
      <c r="J166" s="50"/>
      <c r="K166" s="48"/>
      <c r="L166" s="87" t="s">
        <v>95</v>
      </c>
      <c r="M166" s="87" t="s">
        <v>95</v>
      </c>
      <c r="N166" s="57">
        <v>1.6</v>
      </c>
      <c r="O166" s="130"/>
      <c r="P166" s="130"/>
      <c r="Q166" s="130"/>
      <c r="R166" s="48"/>
      <c r="S166" s="273"/>
      <c r="T166" s="273"/>
      <c r="U166" s="47"/>
      <c r="V166" s="43">
        <f t="shared" si="4"/>
        <v>0</v>
      </c>
      <c r="W166" s="43"/>
      <c r="X166" s="273">
        <f t="shared" si="8"/>
        <v>0</v>
      </c>
      <c r="Y166" s="273"/>
      <c r="Z166" s="273">
        <f t="shared" si="9"/>
        <v>0</v>
      </c>
      <c r="AA166" s="273"/>
      <c r="AB166" s="43"/>
      <c r="AC166" s="44">
        <f t="shared" si="12"/>
        <v>0</v>
      </c>
      <c r="AD166" s="249"/>
    </row>
    <row r="167" spans="1:33" ht="15" x14ac:dyDescent="0.2">
      <c r="A167" s="35"/>
      <c r="B167" s="250" t="s">
        <v>107</v>
      </c>
      <c r="C167" s="210" t="s">
        <v>78</v>
      </c>
      <c r="D167" s="211" t="s">
        <v>14</v>
      </c>
      <c r="E167" s="199"/>
      <c r="F167" s="154"/>
      <c r="G167" s="155"/>
      <c r="H167" s="49"/>
      <c r="I167" s="48"/>
      <c r="J167" s="48"/>
      <c r="K167" s="48"/>
      <c r="L167" s="87" t="s">
        <v>95</v>
      </c>
      <c r="M167" s="87" t="s">
        <v>95</v>
      </c>
      <c r="N167" s="57">
        <v>0.55000000000000004</v>
      </c>
      <c r="O167" s="130"/>
      <c r="P167" s="130"/>
      <c r="Q167" s="130"/>
      <c r="R167" s="48"/>
      <c r="S167" s="273"/>
      <c r="T167" s="273"/>
      <c r="U167" s="47"/>
      <c r="V167" s="43">
        <f t="shared" si="4"/>
        <v>0</v>
      </c>
      <c r="W167" s="43"/>
      <c r="X167" s="273">
        <f t="shared" si="8"/>
        <v>0</v>
      </c>
      <c r="Y167" s="273"/>
      <c r="Z167" s="273">
        <f t="shared" si="9"/>
        <v>0</v>
      </c>
      <c r="AA167" s="273"/>
      <c r="AB167" s="92"/>
      <c r="AC167" s="44">
        <f t="shared" si="12"/>
        <v>0</v>
      </c>
      <c r="AD167" s="249"/>
    </row>
    <row r="168" spans="1:33" ht="15" x14ac:dyDescent="0.2">
      <c r="A168" s="35"/>
      <c r="B168" s="250" t="s">
        <v>107</v>
      </c>
      <c r="C168" s="210" t="s">
        <v>79</v>
      </c>
      <c r="D168" s="211" t="s">
        <v>14</v>
      </c>
      <c r="E168" s="199"/>
      <c r="F168" s="154"/>
      <c r="G168" s="155"/>
      <c r="H168" s="49"/>
      <c r="I168" s="48"/>
      <c r="J168" s="48"/>
      <c r="K168" s="48"/>
      <c r="L168" s="87" t="s">
        <v>95</v>
      </c>
      <c r="M168" s="87" t="s">
        <v>95</v>
      </c>
      <c r="N168" s="57">
        <v>0.3</v>
      </c>
      <c r="O168" s="130"/>
      <c r="P168" s="130"/>
      <c r="Q168" s="130"/>
      <c r="R168" s="48"/>
      <c r="S168" s="273"/>
      <c r="T168" s="273"/>
      <c r="U168" s="47"/>
      <c r="V168" s="43">
        <f t="shared" si="4"/>
        <v>0</v>
      </c>
      <c r="W168" s="43"/>
      <c r="X168" s="273">
        <f t="shared" si="8"/>
        <v>0</v>
      </c>
      <c r="Y168" s="273"/>
      <c r="Z168" s="273">
        <f t="shared" si="9"/>
        <v>0</v>
      </c>
      <c r="AA168" s="273"/>
      <c r="AB168" s="43"/>
      <c r="AC168" s="44">
        <f t="shared" si="12"/>
        <v>0</v>
      </c>
      <c r="AD168" s="249"/>
    </row>
    <row r="169" spans="1:33" ht="15" x14ac:dyDescent="0.2">
      <c r="A169" s="35"/>
      <c r="B169" s="250" t="s">
        <v>107</v>
      </c>
      <c r="C169" s="210" t="s">
        <v>70</v>
      </c>
      <c r="D169" s="211" t="s">
        <v>14</v>
      </c>
      <c r="E169" s="199"/>
      <c r="F169" s="154"/>
      <c r="G169" s="155"/>
      <c r="H169" s="49"/>
      <c r="I169" s="48"/>
      <c r="J169" s="48"/>
      <c r="K169" s="48"/>
      <c r="L169" s="87" t="s">
        <v>95</v>
      </c>
      <c r="M169" s="87" t="s">
        <v>95</v>
      </c>
      <c r="N169" s="57">
        <v>0.3</v>
      </c>
      <c r="O169" s="130"/>
      <c r="P169" s="130"/>
      <c r="Q169" s="130"/>
      <c r="R169" s="48"/>
      <c r="S169" s="273"/>
      <c r="T169" s="273"/>
      <c r="U169" s="47"/>
      <c r="V169" s="43">
        <f t="shared" si="4"/>
        <v>0</v>
      </c>
      <c r="W169" s="43"/>
      <c r="X169" s="273">
        <f t="shared" si="8"/>
        <v>0</v>
      </c>
      <c r="Y169" s="273"/>
      <c r="Z169" s="273">
        <f t="shared" si="9"/>
        <v>0</v>
      </c>
      <c r="AA169" s="273"/>
      <c r="AB169" s="43"/>
      <c r="AC169" s="44">
        <f t="shared" si="12"/>
        <v>0</v>
      </c>
      <c r="AD169" s="249"/>
    </row>
    <row r="170" spans="1:33" ht="15" x14ac:dyDescent="0.2">
      <c r="A170" s="35"/>
      <c r="B170" s="250" t="s">
        <v>132</v>
      </c>
      <c r="C170" s="209" t="s">
        <v>97</v>
      </c>
      <c r="D170" s="211" t="s">
        <v>27</v>
      </c>
      <c r="E170" s="199"/>
      <c r="F170" s="154"/>
      <c r="G170" s="155"/>
      <c r="H170" s="49"/>
      <c r="I170" s="48"/>
      <c r="J170" s="48"/>
      <c r="K170" s="48">
        <v>1</v>
      </c>
      <c r="L170" s="87" t="s">
        <v>95</v>
      </c>
      <c r="M170" s="87" t="s">
        <v>95</v>
      </c>
      <c r="N170" s="57"/>
      <c r="O170" s="130"/>
      <c r="P170" s="130"/>
      <c r="Q170" s="130"/>
      <c r="R170" s="48"/>
      <c r="S170" s="273"/>
      <c r="T170" s="273"/>
      <c r="U170" s="47"/>
      <c r="V170" s="43">
        <f>ROUND($K170*($F170-$G170),6)</f>
        <v>0</v>
      </c>
      <c r="W170" s="43"/>
      <c r="X170" s="273">
        <f t="shared" si="8"/>
        <v>0</v>
      </c>
      <c r="Y170" s="273"/>
      <c r="Z170" s="273">
        <f t="shared" si="9"/>
        <v>0</v>
      </c>
      <c r="AA170" s="273"/>
      <c r="AB170" s="43"/>
      <c r="AC170" s="44">
        <f t="shared" si="12"/>
        <v>0</v>
      </c>
      <c r="AD170" s="249"/>
    </row>
    <row r="171" spans="1:33" ht="15" x14ac:dyDescent="0.2">
      <c r="A171" s="35"/>
      <c r="B171" s="250" t="s">
        <v>130</v>
      </c>
      <c r="C171" s="209" t="s">
        <v>98</v>
      </c>
      <c r="D171" s="211" t="s">
        <v>27</v>
      </c>
      <c r="E171" s="199"/>
      <c r="F171" s="154"/>
      <c r="G171" s="155"/>
      <c r="H171" s="49"/>
      <c r="I171" s="48"/>
      <c r="J171" s="48"/>
      <c r="K171" s="48">
        <v>1</v>
      </c>
      <c r="L171" s="87" t="s">
        <v>95</v>
      </c>
      <c r="M171" s="87" t="s">
        <v>95</v>
      </c>
      <c r="N171" s="57"/>
      <c r="O171" s="130"/>
      <c r="P171" s="130"/>
      <c r="Q171" s="130"/>
      <c r="R171" s="48"/>
      <c r="S171" s="273"/>
      <c r="T171" s="273"/>
      <c r="U171" s="47"/>
      <c r="V171" s="43">
        <f>ROUND($K171*($F171-$G171),6)</f>
        <v>0</v>
      </c>
      <c r="W171" s="43"/>
      <c r="X171" s="273">
        <f t="shared" si="8"/>
        <v>0</v>
      </c>
      <c r="Y171" s="273"/>
      <c r="Z171" s="273">
        <f t="shared" si="9"/>
        <v>0</v>
      </c>
      <c r="AA171" s="273"/>
      <c r="AB171" s="92"/>
      <c r="AC171" s="44">
        <f t="shared" si="12"/>
        <v>0</v>
      </c>
      <c r="AD171" s="249"/>
    </row>
    <row r="172" spans="1:33" ht="15" x14ac:dyDescent="0.2">
      <c r="A172" s="33"/>
      <c r="B172" s="250" t="s">
        <v>201</v>
      </c>
      <c r="C172" s="210" t="s">
        <v>56</v>
      </c>
      <c r="D172" s="211" t="s">
        <v>27</v>
      </c>
      <c r="E172" s="199"/>
      <c r="F172" s="154"/>
      <c r="G172" s="155"/>
      <c r="H172" s="49">
        <v>37</v>
      </c>
      <c r="I172" s="48"/>
      <c r="J172" s="48"/>
      <c r="K172" s="48">
        <f>ROUND(44.01*0.925/12.011,3)</f>
        <v>3.3889999999999998</v>
      </c>
      <c r="L172" s="87">
        <v>3.6999999999999999E-4</v>
      </c>
      <c r="M172" s="87">
        <v>5.5999999999999999E-5</v>
      </c>
      <c r="N172" s="57"/>
      <c r="O172" s="130"/>
      <c r="P172" s="130"/>
      <c r="Q172" s="130"/>
      <c r="R172" s="59"/>
      <c r="S172" s="273"/>
      <c r="T172" s="273"/>
      <c r="U172" s="47"/>
      <c r="V172" s="43">
        <f>ROUND(IF($R172&lt;&gt;"",$R172,$K172)*($F172-$G172),6)</f>
        <v>0</v>
      </c>
      <c r="W172" s="43"/>
      <c r="X172" s="273">
        <f t="shared" si="8"/>
        <v>0</v>
      </c>
      <c r="Y172" s="273"/>
      <c r="Z172" s="273">
        <f t="shared" si="9"/>
        <v>0</v>
      </c>
      <c r="AA172" s="273"/>
      <c r="AB172" s="43"/>
      <c r="AC172" s="44">
        <f t="shared" si="12"/>
        <v>0</v>
      </c>
      <c r="AD172" s="249"/>
    </row>
    <row r="173" spans="1:33" ht="15" x14ac:dyDescent="0.2">
      <c r="A173" s="33"/>
      <c r="B173" s="251" t="s">
        <v>201</v>
      </c>
      <c r="C173" s="252" t="s">
        <v>57</v>
      </c>
      <c r="D173" s="253" t="s">
        <v>27</v>
      </c>
      <c r="E173" s="386"/>
      <c r="F173" s="254"/>
      <c r="G173" s="255"/>
      <c r="H173" s="256">
        <v>40.57</v>
      </c>
      <c r="I173" s="257"/>
      <c r="J173" s="257"/>
      <c r="K173" s="257">
        <f>ROUND(44.01*0.923/12.011,3)</f>
        <v>3.3820000000000001</v>
      </c>
      <c r="L173" s="258" t="s">
        <v>95</v>
      </c>
      <c r="M173" s="258" t="s">
        <v>95</v>
      </c>
      <c r="N173" s="259"/>
      <c r="O173" s="387"/>
      <c r="P173" s="387"/>
      <c r="Q173" s="387"/>
      <c r="R173" s="260"/>
      <c r="S173" s="274"/>
      <c r="T173" s="274"/>
      <c r="U173" s="261"/>
      <c r="V173" s="262">
        <f>ROUND(IF($R173&lt;&gt;"",$R173,$K173)*($F173-$G173),6)</f>
        <v>0</v>
      </c>
      <c r="W173" s="262"/>
      <c r="X173" s="274">
        <f t="shared" si="8"/>
        <v>0</v>
      </c>
      <c r="Y173" s="274"/>
      <c r="Z173" s="274">
        <f t="shared" si="9"/>
        <v>0</v>
      </c>
      <c r="AA173" s="274"/>
      <c r="AB173" s="262"/>
      <c r="AC173" s="263">
        <f t="shared" si="12"/>
        <v>0</v>
      </c>
      <c r="AD173" s="264"/>
    </row>
    <row r="174" spans="1:33" x14ac:dyDescent="0.2">
      <c r="A174" s="33"/>
      <c r="B174" s="34"/>
      <c r="C174" s="33"/>
      <c r="D174" s="40"/>
      <c r="E174" s="40"/>
      <c r="F174" s="40"/>
      <c r="G174" s="40"/>
      <c r="H174" s="40"/>
      <c r="I174" s="32"/>
      <c r="J174" s="32"/>
      <c r="K174" s="32"/>
      <c r="L174" s="32"/>
      <c r="M174" s="32"/>
      <c r="N174" s="32"/>
      <c r="O174" s="32"/>
      <c r="P174" s="32"/>
      <c r="Q174" s="39"/>
      <c r="R174" s="39"/>
      <c r="S174" s="39"/>
      <c r="T174" s="39"/>
      <c r="U174" s="39"/>
      <c r="V174" s="39"/>
      <c r="W174" s="39"/>
      <c r="X174" s="39"/>
      <c r="Y174" s="39"/>
      <c r="Z174" s="39"/>
      <c r="AA174" s="39"/>
      <c r="AB174" s="39"/>
      <c r="AC174" s="39"/>
      <c r="AD174" s="41"/>
      <c r="AE174" s="41"/>
      <c r="AF174" s="41"/>
      <c r="AG174" s="41"/>
    </row>
    <row r="176" spans="1:33" x14ac:dyDescent="0.2">
      <c r="B176" s="227">
        <v>6</v>
      </c>
      <c r="C176" s="181" t="s">
        <v>306</v>
      </c>
      <c r="X176" s="206" t="s">
        <v>292</v>
      </c>
      <c r="Y176" s="206" t="s">
        <v>292</v>
      </c>
      <c r="Z176" s="206" t="s">
        <v>293</v>
      </c>
      <c r="AA176" s="206" t="s">
        <v>293</v>
      </c>
    </row>
    <row r="177" spans="2:30" ht="15" customHeight="1" thickBot="1" x14ac:dyDescent="0.25">
      <c r="H177" s="404" t="s">
        <v>296</v>
      </c>
      <c r="I177" s="404"/>
      <c r="J177" s="227" t="s">
        <v>297</v>
      </c>
      <c r="K177" s="404" t="s">
        <v>295</v>
      </c>
      <c r="L177" s="404"/>
      <c r="T177" s="206"/>
      <c r="U177" s="206"/>
      <c r="V177" s="206" t="s">
        <v>290</v>
      </c>
      <c r="W177" s="206" t="s">
        <v>291</v>
      </c>
      <c r="X177" s="225" t="s">
        <v>290</v>
      </c>
      <c r="Y177" s="225" t="s">
        <v>291</v>
      </c>
      <c r="Z177" s="225" t="s">
        <v>290</v>
      </c>
      <c r="AA177" s="225" t="s">
        <v>291</v>
      </c>
      <c r="AB177" s="206" t="s">
        <v>203</v>
      </c>
      <c r="AC177" s="206" t="s">
        <v>205</v>
      </c>
    </row>
    <row r="178" spans="2:30" x14ac:dyDescent="0.2">
      <c r="B178" s="413" t="s">
        <v>304</v>
      </c>
      <c r="C178" s="309" t="s">
        <v>270</v>
      </c>
      <c r="D178" s="310">
        <f>F62</f>
        <v>0</v>
      </c>
      <c r="E178" s="378" t="s">
        <v>202</v>
      </c>
      <c r="F178" s="377" t="s">
        <v>203</v>
      </c>
      <c r="G178" s="377" t="s">
        <v>205</v>
      </c>
      <c r="H178" s="312" t="s">
        <v>288</v>
      </c>
      <c r="I178" s="313" t="s">
        <v>294</v>
      </c>
      <c r="J178" s="314" t="s">
        <v>202</v>
      </c>
      <c r="K178" s="315" t="s">
        <v>288</v>
      </c>
      <c r="L178" s="316" t="s">
        <v>294</v>
      </c>
      <c r="T178" s="410" t="s">
        <v>192</v>
      </c>
      <c r="U178" s="290" t="s">
        <v>136</v>
      </c>
      <c r="V178" s="291">
        <f>SUM(V89:V173)</f>
        <v>0</v>
      </c>
      <c r="W178" s="292">
        <f>SUM(W89:W173)</f>
        <v>0</v>
      </c>
      <c r="X178" s="293">
        <f>SUM(X89:X173)</f>
        <v>0</v>
      </c>
      <c r="Y178" s="294">
        <f t="shared" ref="Y178:AC178" si="13">SUM(Y89:Y173)</f>
        <v>0</v>
      </c>
      <c r="Z178" s="294">
        <f t="shared" si="13"/>
        <v>0</v>
      </c>
      <c r="AA178" s="295">
        <f t="shared" si="13"/>
        <v>0</v>
      </c>
      <c r="AB178" s="296">
        <f t="shared" si="13"/>
        <v>0</v>
      </c>
      <c r="AC178" s="297">
        <f t="shared" si="13"/>
        <v>0</v>
      </c>
    </row>
    <row r="179" spans="2:30" x14ac:dyDescent="0.2">
      <c r="B179" s="414"/>
      <c r="C179" s="317"/>
      <c r="D179" s="218"/>
      <c r="E179" s="135" t="s">
        <v>208</v>
      </c>
      <c r="F179" s="136"/>
      <c r="G179" s="136"/>
      <c r="H179" s="136"/>
      <c r="I179" s="137"/>
      <c r="J179" s="226" t="s">
        <v>206</v>
      </c>
      <c r="K179" s="279" t="s">
        <v>207</v>
      </c>
      <c r="L179" s="318"/>
      <c r="T179" s="411"/>
      <c r="U179" s="209"/>
      <c r="V179" s="217"/>
      <c r="W179" s="223" t="s">
        <v>137</v>
      </c>
      <c r="X179" s="298" t="s">
        <v>138</v>
      </c>
      <c r="Y179" s="298" t="s">
        <v>138</v>
      </c>
      <c r="Z179" s="298" t="s">
        <v>139</v>
      </c>
      <c r="AA179" s="223" t="s">
        <v>139</v>
      </c>
      <c r="AB179" s="224"/>
      <c r="AC179" s="299"/>
      <c r="AD179" s="25" t="s">
        <v>289</v>
      </c>
    </row>
    <row r="180" spans="2:30" x14ac:dyDescent="0.2">
      <c r="B180" s="414"/>
      <c r="C180" s="319" t="s">
        <v>192</v>
      </c>
      <c r="D180" s="209" t="s">
        <v>204</v>
      </c>
      <c r="E180" s="138" t="e">
        <f>SUM(V180,W180)/$D$178</f>
        <v>#DIV/0!</v>
      </c>
      <c r="F180" s="139" t="e">
        <f>AB180/$D$178</f>
        <v>#DIV/0!</v>
      </c>
      <c r="G180" s="139" t="e">
        <f>AC180/$D$178</f>
        <v>#DIV/0!</v>
      </c>
      <c r="H180" s="140" t="e">
        <f>SUM(F180,E180)</f>
        <v>#DIV/0!</v>
      </c>
      <c r="I180" s="141" t="e">
        <f>SUM(E180:G180)</f>
        <v>#DIV/0!</v>
      </c>
      <c r="J180" s="142" t="e">
        <f>SUM(X180,Y180,Z180,AA180)/$D$178</f>
        <v>#DIV/0!</v>
      </c>
      <c r="K180" s="143" t="e">
        <f>SUM(H180,J180)</f>
        <v>#DIV/0!</v>
      </c>
      <c r="L180" s="320" t="e">
        <f>SUM(I180,J180)</f>
        <v>#DIV/0!</v>
      </c>
      <c r="T180" s="411"/>
      <c r="U180" s="209" t="s">
        <v>134</v>
      </c>
      <c r="V180" s="93">
        <f>V178</f>
        <v>0</v>
      </c>
      <c r="W180" s="131">
        <f>W178</f>
        <v>0</v>
      </c>
      <c r="X180" s="221">
        <f>X178*28</f>
        <v>0</v>
      </c>
      <c r="Y180" s="222">
        <f>Y178*28</f>
        <v>0</v>
      </c>
      <c r="Z180" s="222">
        <f>Z178*265</f>
        <v>0</v>
      </c>
      <c r="AA180" s="228">
        <f>AA178*265</f>
        <v>0</v>
      </c>
      <c r="AB180" s="133">
        <f t="shared" ref="AB180:AC180" si="14">AB178</f>
        <v>0</v>
      </c>
      <c r="AC180" s="300">
        <f t="shared" si="14"/>
        <v>0</v>
      </c>
    </row>
    <row r="181" spans="2:30" x14ac:dyDescent="0.2">
      <c r="B181" s="414"/>
      <c r="C181" s="317"/>
      <c r="D181" s="217"/>
      <c r="E181" s="144"/>
      <c r="F181" s="321"/>
      <c r="G181" s="321"/>
      <c r="H181" s="321"/>
      <c r="I181" s="145"/>
      <c r="J181" s="146"/>
      <c r="K181" s="144"/>
      <c r="L181" s="322"/>
      <c r="T181" s="301"/>
      <c r="W181" s="132"/>
      <c r="AA181" s="132"/>
      <c r="AB181" s="134"/>
      <c r="AC181" s="284"/>
    </row>
    <row r="182" spans="2:30" x14ac:dyDescent="0.2">
      <c r="B182" s="414"/>
      <c r="C182" s="302" t="s">
        <v>210</v>
      </c>
      <c r="D182" s="209" t="s">
        <v>204</v>
      </c>
      <c r="E182" s="147" t="e">
        <f>SUM(V182,W182)/$D$178</f>
        <v>#DIV/0!</v>
      </c>
      <c r="F182" s="148" t="e">
        <f t="shared" ref="F182:G197" si="15">AB182/$D$178</f>
        <v>#DIV/0!</v>
      </c>
      <c r="G182" s="148" t="e">
        <f t="shared" si="15"/>
        <v>#DIV/0!</v>
      </c>
      <c r="H182" s="148" t="e">
        <f>SUM(F182,E182)</f>
        <v>#DIV/0!</v>
      </c>
      <c r="I182" s="149" t="e">
        <f t="shared" ref="I182:I197" si="16">SUM(E182:G182)</f>
        <v>#DIV/0!</v>
      </c>
      <c r="J182" s="275" t="e">
        <f t="shared" ref="J182:J197" si="17">SUM(X182,Y182,Z182,AA182)/$D$178</f>
        <v>#DIV/0!</v>
      </c>
      <c r="K182" s="276" t="e">
        <f t="shared" ref="K182:K197" si="18">SUM(H182,J182)</f>
        <v>#DIV/0!</v>
      </c>
      <c r="L182" s="323" t="e">
        <f t="shared" ref="L182:L197" si="19">SUM(I182,J182)</f>
        <v>#DIV/0!</v>
      </c>
      <c r="T182" s="302" t="s">
        <v>210</v>
      </c>
      <c r="U182" s="209" t="s">
        <v>134</v>
      </c>
      <c r="V182" s="93">
        <f t="shared" ref="V182:W186" si="20">SUMIFS(V$89:V$173,$B$89:$B$173,$T182)</f>
        <v>0</v>
      </c>
      <c r="W182" s="131">
        <f t="shared" si="20"/>
        <v>0</v>
      </c>
      <c r="X182" s="221">
        <f t="shared" ref="X182:Y186" si="21">SUMIFS(X$89:X$173,$B$89:$B$173,$T182)*28</f>
        <v>0</v>
      </c>
      <c r="Y182" s="222">
        <f t="shared" si="21"/>
        <v>0</v>
      </c>
      <c r="Z182" s="222">
        <f t="shared" ref="Z182:AA186" si="22">SUMIFS(Z$89:Z$173,$B$89:$B$173,$T182)*265</f>
        <v>0</v>
      </c>
      <c r="AA182" s="228">
        <f t="shared" si="22"/>
        <v>0</v>
      </c>
      <c r="AB182" s="133">
        <f t="shared" ref="AB182:AC186" si="23">SUMIFS(AB$89:AB$173,$B$89:$B$173,$T182)</f>
        <v>0</v>
      </c>
      <c r="AC182" s="300">
        <f t="shared" si="23"/>
        <v>0</v>
      </c>
    </row>
    <row r="183" spans="2:30" x14ac:dyDescent="0.2">
      <c r="B183" s="414"/>
      <c r="C183" s="302" t="s">
        <v>197</v>
      </c>
      <c r="D183" s="209" t="s">
        <v>204</v>
      </c>
      <c r="E183" s="147" t="e">
        <f t="shared" ref="E183:E197" si="24">SUM(V183,W183)/$D$178</f>
        <v>#DIV/0!</v>
      </c>
      <c r="F183" s="148" t="e">
        <f t="shared" si="15"/>
        <v>#DIV/0!</v>
      </c>
      <c r="G183" s="148" t="e">
        <f t="shared" si="15"/>
        <v>#DIV/0!</v>
      </c>
      <c r="H183" s="148" t="e">
        <f t="shared" ref="H183:H197" si="25">SUM(F183,E183)</f>
        <v>#DIV/0!</v>
      </c>
      <c r="I183" s="149" t="e">
        <f t="shared" si="16"/>
        <v>#DIV/0!</v>
      </c>
      <c r="J183" s="275" t="e">
        <f t="shared" si="17"/>
        <v>#DIV/0!</v>
      </c>
      <c r="K183" s="276" t="e">
        <f t="shared" si="18"/>
        <v>#DIV/0!</v>
      </c>
      <c r="L183" s="323" t="e">
        <f t="shared" si="19"/>
        <v>#DIV/0!</v>
      </c>
      <c r="T183" s="302" t="s">
        <v>197</v>
      </c>
      <c r="U183" s="209" t="s">
        <v>134</v>
      </c>
      <c r="V183" s="93">
        <f t="shared" si="20"/>
        <v>0</v>
      </c>
      <c r="W183" s="131">
        <f t="shared" si="20"/>
        <v>0</v>
      </c>
      <c r="X183" s="221">
        <f t="shared" si="21"/>
        <v>0</v>
      </c>
      <c r="Y183" s="222">
        <f t="shared" si="21"/>
        <v>0</v>
      </c>
      <c r="Z183" s="222">
        <f t="shared" si="22"/>
        <v>0</v>
      </c>
      <c r="AA183" s="228">
        <f t="shared" si="22"/>
        <v>0</v>
      </c>
      <c r="AB183" s="133">
        <f t="shared" si="23"/>
        <v>0</v>
      </c>
      <c r="AC183" s="300">
        <f t="shared" si="23"/>
        <v>0</v>
      </c>
    </row>
    <row r="184" spans="2:30" x14ac:dyDescent="0.2">
      <c r="B184" s="414"/>
      <c r="C184" s="302" t="s">
        <v>200</v>
      </c>
      <c r="D184" s="209" t="s">
        <v>204</v>
      </c>
      <c r="E184" s="147" t="e">
        <f t="shared" si="24"/>
        <v>#DIV/0!</v>
      </c>
      <c r="F184" s="148" t="e">
        <f t="shared" si="15"/>
        <v>#DIV/0!</v>
      </c>
      <c r="G184" s="148" t="e">
        <f t="shared" si="15"/>
        <v>#DIV/0!</v>
      </c>
      <c r="H184" s="148" t="e">
        <f t="shared" si="25"/>
        <v>#DIV/0!</v>
      </c>
      <c r="I184" s="149" t="e">
        <f t="shared" si="16"/>
        <v>#DIV/0!</v>
      </c>
      <c r="J184" s="275" t="e">
        <f t="shared" si="17"/>
        <v>#DIV/0!</v>
      </c>
      <c r="K184" s="276" t="e">
        <f t="shared" si="18"/>
        <v>#DIV/0!</v>
      </c>
      <c r="L184" s="323" t="e">
        <f t="shared" si="19"/>
        <v>#DIV/0!</v>
      </c>
      <c r="T184" s="302" t="s">
        <v>200</v>
      </c>
      <c r="U184" s="209" t="s">
        <v>134</v>
      </c>
      <c r="V184" s="93">
        <f t="shared" si="20"/>
        <v>0</v>
      </c>
      <c r="W184" s="131">
        <f t="shared" si="20"/>
        <v>0</v>
      </c>
      <c r="X184" s="221">
        <f t="shared" si="21"/>
        <v>0</v>
      </c>
      <c r="Y184" s="222">
        <f t="shared" si="21"/>
        <v>0</v>
      </c>
      <c r="Z184" s="222">
        <f t="shared" si="22"/>
        <v>0</v>
      </c>
      <c r="AA184" s="228">
        <f t="shared" si="22"/>
        <v>0</v>
      </c>
      <c r="AB184" s="133">
        <f t="shared" si="23"/>
        <v>0</v>
      </c>
      <c r="AC184" s="300">
        <f t="shared" si="23"/>
        <v>0</v>
      </c>
    </row>
    <row r="185" spans="2:30" x14ac:dyDescent="0.2">
      <c r="B185" s="414"/>
      <c r="C185" s="302" t="s">
        <v>195</v>
      </c>
      <c r="D185" s="209" t="s">
        <v>204</v>
      </c>
      <c r="E185" s="147" t="e">
        <f t="shared" si="24"/>
        <v>#DIV/0!</v>
      </c>
      <c r="F185" s="148" t="e">
        <f t="shared" si="15"/>
        <v>#DIV/0!</v>
      </c>
      <c r="G185" s="148" t="e">
        <f t="shared" si="15"/>
        <v>#DIV/0!</v>
      </c>
      <c r="H185" s="148" t="e">
        <f>SUM(F185,E185)</f>
        <v>#DIV/0!</v>
      </c>
      <c r="I185" s="149" t="e">
        <f t="shared" si="16"/>
        <v>#DIV/0!</v>
      </c>
      <c r="J185" s="275" t="e">
        <f t="shared" si="17"/>
        <v>#DIV/0!</v>
      </c>
      <c r="K185" s="276" t="e">
        <f t="shared" si="18"/>
        <v>#DIV/0!</v>
      </c>
      <c r="L185" s="323" t="e">
        <f t="shared" si="19"/>
        <v>#DIV/0!</v>
      </c>
      <c r="T185" s="302" t="s">
        <v>195</v>
      </c>
      <c r="U185" s="209" t="s">
        <v>134</v>
      </c>
      <c r="V185" s="93">
        <f t="shared" si="20"/>
        <v>0</v>
      </c>
      <c r="W185" s="131">
        <f t="shared" si="20"/>
        <v>0</v>
      </c>
      <c r="X185" s="221">
        <f t="shared" si="21"/>
        <v>0</v>
      </c>
      <c r="Y185" s="222">
        <f t="shared" si="21"/>
        <v>0</v>
      </c>
      <c r="Z185" s="222">
        <f t="shared" si="22"/>
        <v>0</v>
      </c>
      <c r="AA185" s="228">
        <f t="shared" si="22"/>
        <v>0</v>
      </c>
      <c r="AB185" s="133">
        <f t="shared" si="23"/>
        <v>0</v>
      </c>
      <c r="AC185" s="300">
        <f t="shared" si="23"/>
        <v>0</v>
      </c>
    </row>
    <row r="186" spans="2:30" x14ac:dyDescent="0.2">
      <c r="B186" s="414"/>
      <c r="C186" s="302" t="s">
        <v>194</v>
      </c>
      <c r="D186" s="209" t="s">
        <v>204</v>
      </c>
      <c r="E186" s="147" t="e">
        <f t="shared" si="24"/>
        <v>#DIV/0!</v>
      </c>
      <c r="F186" s="148" t="e">
        <f t="shared" si="15"/>
        <v>#DIV/0!</v>
      </c>
      <c r="G186" s="148" t="e">
        <f t="shared" si="15"/>
        <v>#DIV/0!</v>
      </c>
      <c r="H186" s="148" t="e">
        <f>SUM(F186,E186)</f>
        <v>#DIV/0!</v>
      </c>
      <c r="I186" s="149" t="e">
        <f>SUM(E186:G186)</f>
        <v>#DIV/0!</v>
      </c>
      <c r="J186" s="275" t="e">
        <f t="shared" si="17"/>
        <v>#DIV/0!</v>
      </c>
      <c r="K186" s="276" t="e">
        <f t="shared" si="18"/>
        <v>#DIV/0!</v>
      </c>
      <c r="L186" s="323" t="e">
        <f t="shared" si="19"/>
        <v>#DIV/0!</v>
      </c>
      <c r="T186" s="302" t="s">
        <v>194</v>
      </c>
      <c r="U186" s="209" t="s">
        <v>134</v>
      </c>
      <c r="V186" s="93">
        <f t="shared" si="20"/>
        <v>0</v>
      </c>
      <c r="W186" s="131">
        <f t="shared" si="20"/>
        <v>0</v>
      </c>
      <c r="X186" s="221">
        <f t="shared" si="21"/>
        <v>0</v>
      </c>
      <c r="Y186" s="222">
        <f t="shared" si="21"/>
        <v>0</v>
      </c>
      <c r="Z186" s="222">
        <f t="shared" si="22"/>
        <v>0</v>
      </c>
      <c r="AA186" s="228">
        <f t="shared" si="22"/>
        <v>0</v>
      </c>
      <c r="AB186" s="133">
        <f t="shared" si="23"/>
        <v>0</v>
      </c>
      <c r="AC186" s="300">
        <f t="shared" si="23"/>
        <v>0</v>
      </c>
    </row>
    <row r="187" spans="2:30" x14ac:dyDescent="0.2">
      <c r="B187" s="414"/>
      <c r="C187" s="302" t="s">
        <v>308</v>
      </c>
      <c r="D187" s="209" t="s">
        <v>204</v>
      </c>
      <c r="E187" s="147" t="e">
        <f>SUM(V187,W187)/$D$178</f>
        <v>#DIV/0!</v>
      </c>
      <c r="F187" s="148" t="e">
        <f t="shared" si="15"/>
        <v>#DIV/0!</v>
      </c>
      <c r="G187" s="148" t="e">
        <f t="shared" si="15"/>
        <v>#DIV/0!</v>
      </c>
      <c r="H187" s="148" t="e">
        <f>SUM(F187,E186)</f>
        <v>#DIV/0!</v>
      </c>
      <c r="I187" s="149" t="e">
        <f t="shared" ref="I187" si="26">SUM(E187:G187)</f>
        <v>#DIV/0!</v>
      </c>
      <c r="J187" s="275" t="e">
        <f t="shared" si="17"/>
        <v>#DIV/0!</v>
      </c>
      <c r="K187" s="276" t="e">
        <f t="shared" si="18"/>
        <v>#DIV/0!</v>
      </c>
      <c r="L187" s="323" t="e">
        <f t="shared" si="19"/>
        <v>#DIV/0!</v>
      </c>
      <c r="T187" s="302" t="s">
        <v>308</v>
      </c>
      <c r="U187" s="209" t="s">
        <v>134</v>
      </c>
      <c r="V187" s="93">
        <f>SUMIFS(V$128:V$131,$B$128:$B$131,$T187)</f>
        <v>0</v>
      </c>
      <c r="W187" s="131">
        <f>SUMIFS(W$128:W$131,$B$128:$B$131,$T187)</f>
        <v>0</v>
      </c>
      <c r="X187" s="221">
        <f>SUMIFS(X$128:X$131,$B$128:$B$131,$T187)*28</f>
        <v>0</v>
      </c>
      <c r="Y187" s="222">
        <f>SUMIFS(Y$128:Y$131,$B$128:$B$131,$T187)*28</f>
        <v>0</v>
      </c>
      <c r="Z187" s="222">
        <f>SUMIFS(Z$128:Z$131,$B$128:$B$131,$T187)*265</f>
        <v>0</v>
      </c>
      <c r="AA187" s="228">
        <f>SUMIFS(AA$128:AA$131,$B$128:$B$131,$T187)*265</f>
        <v>0</v>
      </c>
      <c r="AB187" s="133">
        <f>SUMIFS(AB$128:AB$131,$B$128:$B$131,$T187)</f>
        <v>0</v>
      </c>
      <c r="AC187" s="300">
        <f>SUMIFS(AC$128:AC$131,$B$128:$B$131,$T187)</f>
        <v>0</v>
      </c>
    </row>
    <row r="188" spans="2:30" x14ac:dyDescent="0.2">
      <c r="B188" s="414"/>
      <c r="C188" s="302" t="s">
        <v>196</v>
      </c>
      <c r="D188" s="209" t="s">
        <v>204</v>
      </c>
      <c r="E188" s="147" t="e">
        <f t="shared" si="24"/>
        <v>#DIV/0!</v>
      </c>
      <c r="F188" s="148" t="e">
        <f t="shared" si="15"/>
        <v>#DIV/0!</v>
      </c>
      <c r="G188" s="148" t="e">
        <f t="shared" si="15"/>
        <v>#DIV/0!</v>
      </c>
      <c r="H188" s="148" t="e">
        <f t="shared" si="25"/>
        <v>#DIV/0!</v>
      </c>
      <c r="I188" s="149" t="e">
        <f t="shared" si="16"/>
        <v>#DIV/0!</v>
      </c>
      <c r="J188" s="275" t="e">
        <f t="shared" si="17"/>
        <v>#DIV/0!</v>
      </c>
      <c r="K188" s="276" t="e">
        <f t="shared" si="18"/>
        <v>#DIV/0!</v>
      </c>
      <c r="L188" s="323" t="e">
        <f t="shared" si="19"/>
        <v>#DIV/0!</v>
      </c>
      <c r="T188" s="302" t="s">
        <v>196</v>
      </c>
      <c r="U188" s="209" t="s">
        <v>134</v>
      </c>
      <c r="V188" s="93">
        <f t="shared" ref="V188:W197" si="27">SUMIFS(V$89:V$173,$B$89:$B$173,$T188)</f>
        <v>0</v>
      </c>
      <c r="W188" s="131">
        <f t="shared" si="27"/>
        <v>0</v>
      </c>
      <c r="X188" s="221">
        <f t="shared" ref="X188:Y197" si="28">SUMIFS(X$89:X$173,$B$89:$B$173,$T188)*28</f>
        <v>0</v>
      </c>
      <c r="Y188" s="222">
        <f t="shared" si="28"/>
        <v>0</v>
      </c>
      <c r="Z188" s="222">
        <f t="shared" ref="Z188:AA197" si="29">SUMIFS(Z$89:Z$173,$B$89:$B$173,$T188)*265</f>
        <v>0</v>
      </c>
      <c r="AA188" s="228">
        <f t="shared" si="29"/>
        <v>0</v>
      </c>
      <c r="AB188" s="133">
        <f t="shared" ref="AB188:AC197" si="30">SUMIFS(AB$89:AB$173,$B$89:$B$173,$T188)</f>
        <v>0</v>
      </c>
      <c r="AC188" s="300">
        <f t="shared" si="30"/>
        <v>0</v>
      </c>
    </row>
    <row r="189" spans="2:30" x14ac:dyDescent="0.2">
      <c r="B189" s="414"/>
      <c r="C189" s="302" t="s">
        <v>48</v>
      </c>
      <c r="D189" s="209" t="s">
        <v>204</v>
      </c>
      <c r="E189" s="147" t="e">
        <f>SUM(V189,W189)/$D$178</f>
        <v>#DIV/0!</v>
      </c>
      <c r="F189" s="148" t="e">
        <f t="shared" si="15"/>
        <v>#DIV/0!</v>
      </c>
      <c r="G189" s="148" t="e">
        <f t="shared" si="15"/>
        <v>#DIV/0!</v>
      </c>
      <c r="H189" s="148" t="e">
        <f t="shared" si="25"/>
        <v>#DIV/0!</v>
      </c>
      <c r="I189" s="149" t="e">
        <f t="shared" si="16"/>
        <v>#DIV/0!</v>
      </c>
      <c r="J189" s="275" t="e">
        <f t="shared" si="17"/>
        <v>#DIV/0!</v>
      </c>
      <c r="K189" s="276" t="e">
        <f t="shared" si="18"/>
        <v>#DIV/0!</v>
      </c>
      <c r="L189" s="323" t="e">
        <f t="shared" si="19"/>
        <v>#DIV/0!</v>
      </c>
      <c r="T189" s="302" t="s">
        <v>48</v>
      </c>
      <c r="U189" s="209" t="s">
        <v>134</v>
      </c>
      <c r="V189" s="93">
        <f t="shared" si="27"/>
        <v>0</v>
      </c>
      <c r="W189" s="131">
        <f t="shared" si="27"/>
        <v>0</v>
      </c>
      <c r="X189" s="221">
        <f t="shared" si="28"/>
        <v>0</v>
      </c>
      <c r="Y189" s="222">
        <f t="shared" si="28"/>
        <v>0</v>
      </c>
      <c r="Z189" s="222">
        <f t="shared" si="29"/>
        <v>0</v>
      </c>
      <c r="AA189" s="228">
        <f t="shared" si="29"/>
        <v>0</v>
      </c>
      <c r="AB189" s="133">
        <f t="shared" si="30"/>
        <v>0</v>
      </c>
      <c r="AC189" s="300">
        <f t="shared" si="30"/>
        <v>0</v>
      </c>
    </row>
    <row r="190" spans="2:30" x14ac:dyDescent="0.2">
      <c r="B190" s="414"/>
      <c r="C190" s="302" t="s">
        <v>198</v>
      </c>
      <c r="D190" s="209" t="s">
        <v>204</v>
      </c>
      <c r="E190" s="147" t="e">
        <f t="shared" si="24"/>
        <v>#DIV/0!</v>
      </c>
      <c r="F190" s="148" t="e">
        <f t="shared" si="15"/>
        <v>#DIV/0!</v>
      </c>
      <c r="G190" s="148" t="e">
        <f t="shared" si="15"/>
        <v>#DIV/0!</v>
      </c>
      <c r="H190" s="148" t="e">
        <f t="shared" si="25"/>
        <v>#DIV/0!</v>
      </c>
      <c r="I190" s="149" t="e">
        <f t="shared" si="16"/>
        <v>#DIV/0!</v>
      </c>
      <c r="J190" s="275" t="e">
        <f t="shared" si="17"/>
        <v>#DIV/0!</v>
      </c>
      <c r="K190" s="276" t="e">
        <f t="shared" si="18"/>
        <v>#DIV/0!</v>
      </c>
      <c r="L190" s="323" t="e">
        <f t="shared" si="19"/>
        <v>#DIV/0!</v>
      </c>
      <c r="T190" s="302" t="s">
        <v>198</v>
      </c>
      <c r="U190" s="209" t="s">
        <v>134</v>
      </c>
      <c r="V190" s="93">
        <f t="shared" si="27"/>
        <v>0</v>
      </c>
      <c r="W190" s="131">
        <f t="shared" si="27"/>
        <v>0</v>
      </c>
      <c r="X190" s="221">
        <f t="shared" si="28"/>
        <v>0</v>
      </c>
      <c r="Y190" s="222">
        <f t="shared" si="28"/>
        <v>0</v>
      </c>
      <c r="Z190" s="222">
        <f t="shared" si="29"/>
        <v>0</v>
      </c>
      <c r="AA190" s="228">
        <f t="shared" si="29"/>
        <v>0</v>
      </c>
      <c r="AB190" s="133">
        <f t="shared" si="30"/>
        <v>0</v>
      </c>
      <c r="AC190" s="300">
        <f t="shared" si="30"/>
        <v>0</v>
      </c>
    </row>
    <row r="191" spans="2:30" x14ac:dyDescent="0.2">
      <c r="B191" s="414"/>
      <c r="C191" s="302" t="s">
        <v>199</v>
      </c>
      <c r="D191" s="209" t="s">
        <v>204</v>
      </c>
      <c r="E191" s="147" t="e">
        <f t="shared" si="24"/>
        <v>#DIV/0!</v>
      </c>
      <c r="F191" s="148" t="e">
        <f t="shared" si="15"/>
        <v>#DIV/0!</v>
      </c>
      <c r="G191" s="148" t="e">
        <f t="shared" si="15"/>
        <v>#DIV/0!</v>
      </c>
      <c r="H191" s="148" t="e">
        <f t="shared" si="25"/>
        <v>#DIV/0!</v>
      </c>
      <c r="I191" s="149" t="e">
        <f t="shared" si="16"/>
        <v>#DIV/0!</v>
      </c>
      <c r="J191" s="275" t="e">
        <f t="shared" si="17"/>
        <v>#DIV/0!</v>
      </c>
      <c r="K191" s="276" t="e">
        <f t="shared" si="18"/>
        <v>#DIV/0!</v>
      </c>
      <c r="L191" s="323" t="e">
        <f t="shared" si="19"/>
        <v>#DIV/0!</v>
      </c>
      <c r="T191" s="302" t="s">
        <v>199</v>
      </c>
      <c r="U191" s="209" t="s">
        <v>134</v>
      </c>
      <c r="V191" s="93">
        <f t="shared" si="27"/>
        <v>0</v>
      </c>
      <c r="W191" s="131">
        <f t="shared" si="27"/>
        <v>0</v>
      </c>
      <c r="X191" s="221">
        <f t="shared" si="28"/>
        <v>0</v>
      </c>
      <c r="Y191" s="222">
        <f t="shared" si="28"/>
        <v>0</v>
      </c>
      <c r="Z191" s="222">
        <f t="shared" si="29"/>
        <v>0</v>
      </c>
      <c r="AA191" s="228">
        <f t="shared" si="29"/>
        <v>0</v>
      </c>
      <c r="AB191" s="133">
        <f t="shared" si="30"/>
        <v>0</v>
      </c>
      <c r="AC191" s="300">
        <f t="shared" si="30"/>
        <v>0</v>
      </c>
    </row>
    <row r="192" spans="2:30" x14ac:dyDescent="0.2">
      <c r="B192" s="414"/>
      <c r="C192" s="302" t="s">
        <v>131</v>
      </c>
      <c r="D192" s="209" t="s">
        <v>204</v>
      </c>
      <c r="E192" s="147" t="e">
        <f t="shared" si="24"/>
        <v>#DIV/0!</v>
      </c>
      <c r="F192" s="148" t="e">
        <f t="shared" si="15"/>
        <v>#DIV/0!</v>
      </c>
      <c r="G192" s="148" t="e">
        <f t="shared" si="15"/>
        <v>#DIV/0!</v>
      </c>
      <c r="H192" s="148" t="e">
        <f t="shared" si="25"/>
        <v>#DIV/0!</v>
      </c>
      <c r="I192" s="149" t="e">
        <f t="shared" si="16"/>
        <v>#DIV/0!</v>
      </c>
      <c r="J192" s="275" t="e">
        <f t="shared" si="17"/>
        <v>#DIV/0!</v>
      </c>
      <c r="K192" s="276" t="e">
        <f t="shared" si="18"/>
        <v>#DIV/0!</v>
      </c>
      <c r="L192" s="323" t="e">
        <f t="shared" si="19"/>
        <v>#DIV/0!</v>
      </c>
      <c r="T192" s="302" t="s">
        <v>131</v>
      </c>
      <c r="U192" s="209" t="s">
        <v>134</v>
      </c>
      <c r="V192" s="93">
        <f t="shared" si="27"/>
        <v>0</v>
      </c>
      <c r="W192" s="131">
        <f t="shared" si="27"/>
        <v>0</v>
      </c>
      <c r="X192" s="221">
        <f t="shared" si="28"/>
        <v>0</v>
      </c>
      <c r="Y192" s="222">
        <f t="shared" si="28"/>
        <v>0</v>
      </c>
      <c r="Z192" s="222">
        <f t="shared" si="29"/>
        <v>0</v>
      </c>
      <c r="AA192" s="228">
        <f t="shared" si="29"/>
        <v>0</v>
      </c>
      <c r="AB192" s="133">
        <f t="shared" si="30"/>
        <v>0</v>
      </c>
      <c r="AC192" s="300">
        <f t="shared" si="30"/>
        <v>0</v>
      </c>
    </row>
    <row r="193" spans="2:29" x14ac:dyDescent="0.2">
      <c r="B193" s="414"/>
      <c r="C193" s="302" t="s">
        <v>193</v>
      </c>
      <c r="D193" s="209" t="s">
        <v>204</v>
      </c>
      <c r="E193" s="147" t="e">
        <f t="shared" si="24"/>
        <v>#DIV/0!</v>
      </c>
      <c r="F193" s="148" t="e">
        <f t="shared" si="15"/>
        <v>#DIV/0!</v>
      </c>
      <c r="G193" s="148" t="e">
        <f t="shared" si="15"/>
        <v>#DIV/0!</v>
      </c>
      <c r="H193" s="148" t="e">
        <f t="shared" si="25"/>
        <v>#DIV/0!</v>
      </c>
      <c r="I193" s="149" t="e">
        <f t="shared" si="16"/>
        <v>#DIV/0!</v>
      </c>
      <c r="J193" s="275" t="e">
        <f t="shared" si="17"/>
        <v>#DIV/0!</v>
      </c>
      <c r="K193" s="276" t="e">
        <f t="shared" si="18"/>
        <v>#DIV/0!</v>
      </c>
      <c r="L193" s="323" t="e">
        <f t="shared" si="19"/>
        <v>#DIV/0!</v>
      </c>
      <c r="T193" s="302" t="s">
        <v>193</v>
      </c>
      <c r="U193" s="209" t="s">
        <v>134</v>
      </c>
      <c r="V193" s="93">
        <f t="shared" si="27"/>
        <v>0</v>
      </c>
      <c r="W193" s="131">
        <f t="shared" si="27"/>
        <v>0</v>
      </c>
      <c r="X193" s="221">
        <f t="shared" si="28"/>
        <v>0</v>
      </c>
      <c r="Y193" s="222">
        <f t="shared" si="28"/>
        <v>0</v>
      </c>
      <c r="Z193" s="222">
        <f t="shared" si="29"/>
        <v>0</v>
      </c>
      <c r="AA193" s="228">
        <f t="shared" si="29"/>
        <v>0</v>
      </c>
      <c r="AB193" s="133">
        <f t="shared" si="30"/>
        <v>0</v>
      </c>
      <c r="AC193" s="300">
        <f t="shared" si="30"/>
        <v>0</v>
      </c>
    </row>
    <row r="194" spans="2:29" x14ac:dyDescent="0.2">
      <c r="B194" s="414"/>
      <c r="C194" s="302" t="s">
        <v>107</v>
      </c>
      <c r="D194" s="209" t="s">
        <v>204</v>
      </c>
      <c r="E194" s="147" t="e">
        <f t="shared" si="24"/>
        <v>#DIV/0!</v>
      </c>
      <c r="F194" s="148" t="e">
        <f t="shared" si="15"/>
        <v>#DIV/0!</v>
      </c>
      <c r="G194" s="148" t="e">
        <f t="shared" si="15"/>
        <v>#DIV/0!</v>
      </c>
      <c r="H194" s="148" t="e">
        <f t="shared" si="25"/>
        <v>#DIV/0!</v>
      </c>
      <c r="I194" s="149" t="e">
        <f t="shared" si="16"/>
        <v>#DIV/0!</v>
      </c>
      <c r="J194" s="275" t="e">
        <f t="shared" si="17"/>
        <v>#DIV/0!</v>
      </c>
      <c r="K194" s="276" t="e">
        <f t="shared" si="18"/>
        <v>#DIV/0!</v>
      </c>
      <c r="L194" s="323" t="e">
        <f t="shared" si="19"/>
        <v>#DIV/0!</v>
      </c>
      <c r="T194" s="302" t="s">
        <v>107</v>
      </c>
      <c r="U194" s="209" t="s">
        <v>134</v>
      </c>
      <c r="V194" s="93">
        <f t="shared" si="27"/>
        <v>0</v>
      </c>
      <c r="W194" s="131">
        <f t="shared" si="27"/>
        <v>0</v>
      </c>
      <c r="X194" s="221">
        <f t="shared" si="28"/>
        <v>0</v>
      </c>
      <c r="Y194" s="222">
        <f t="shared" si="28"/>
        <v>0</v>
      </c>
      <c r="Z194" s="222">
        <f t="shared" si="29"/>
        <v>0</v>
      </c>
      <c r="AA194" s="228">
        <f t="shared" si="29"/>
        <v>0</v>
      </c>
      <c r="AB194" s="133">
        <f t="shared" si="30"/>
        <v>0</v>
      </c>
      <c r="AC194" s="300">
        <f t="shared" si="30"/>
        <v>0</v>
      </c>
    </row>
    <row r="195" spans="2:29" x14ac:dyDescent="0.2">
      <c r="B195" s="414"/>
      <c r="C195" s="302" t="s">
        <v>132</v>
      </c>
      <c r="D195" s="209" t="s">
        <v>204</v>
      </c>
      <c r="E195" s="147" t="e">
        <f t="shared" si="24"/>
        <v>#DIV/0!</v>
      </c>
      <c r="F195" s="148" t="e">
        <f t="shared" si="15"/>
        <v>#DIV/0!</v>
      </c>
      <c r="G195" s="148" t="e">
        <f t="shared" si="15"/>
        <v>#DIV/0!</v>
      </c>
      <c r="H195" s="148" t="e">
        <f t="shared" si="25"/>
        <v>#DIV/0!</v>
      </c>
      <c r="I195" s="149" t="e">
        <f t="shared" si="16"/>
        <v>#DIV/0!</v>
      </c>
      <c r="J195" s="275" t="e">
        <f t="shared" si="17"/>
        <v>#DIV/0!</v>
      </c>
      <c r="K195" s="276" t="e">
        <f t="shared" si="18"/>
        <v>#DIV/0!</v>
      </c>
      <c r="L195" s="323" t="e">
        <f t="shared" si="19"/>
        <v>#DIV/0!</v>
      </c>
      <c r="T195" s="302" t="s">
        <v>132</v>
      </c>
      <c r="U195" s="209" t="s">
        <v>134</v>
      </c>
      <c r="V195" s="93">
        <f t="shared" si="27"/>
        <v>0</v>
      </c>
      <c r="W195" s="131">
        <f t="shared" si="27"/>
        <v>0</v>
      </c>
      <c r="X195" s="221">
        <f t="shared" si="28"/>
        <v>0</v>
      </c>
      <c r="Y195" s="222">
        <f t="shared" si="28"/>
        <v>0</v>
      </c>
      <c r="Z195" s="222">
        <f t="shared" si="29"/>
        <v>0</v>
      </c>
      <c r="AA195" s="228">
        <f t="shared" si="29"/>
        <v>0</v>
      </c>
      <c r="AB195" s="133">
        <f t="shared" si="30"/>
        <v>0</v>
      </c>
      <c r="AC195" s="300">
        <f t="shared" si="30"/>
        <v>0</v>
      </c>
    </row>
    <row r="196" spans="2:29" x14ac:dyDescent="0.2">
      <c r="B196" s="414"/>
      <c r="C196" s="302" t="s">
        <v>130</v>
      </c>
      <c r="D196" s="209" t="s">
        <v>204</v>
      </c>
      <c r="E196" s="147" t="e">
        <f t="shared" si="24"/>
        <v>#DIV/0!</v>
      </c>
      <c r="F196" s="148" t="e">
        <f t="shared" si="15"/>
        <v>#DIV/0!</v>
      </c>
      <c r="G196" s="148" t="e">
        <f t="shared" si="15"/>
        <v>#DIV/0!</v>
      </c>
      <c r="H196" s="148" t="e">
        <f t="shared" si="25"/>
        <v>#DIV/0!</v>
      </c>
      <c r="I196" s="149" t="e">
        <f t="shared" si="16"/>
        <v>#DIV/0!</v>
      </c>
      <c r="J196" s="275" t="e">
        <f t="shared" si="17"/>
        <v>#DIV/0!</v>
      </c>
      <c r="K196" s="276" t="e">
        <f t="shared" si="18"/>
        <v>#DIV/0!</v>
      </c>
      <c r="L196" s="323" t="e">
        <f t="shared" si="19"/>
        <v>#DIV/0!</v>
      </c>
      <c r="T196" s="302" t="s">
        <v>130</v>
      </c>
      <c r="U196" s="209" t="s">
        <v>134</v>
      </c>
      <c r="V196" s="93">
        <f t="shared" si="27"/>
        <v>0</v>
      </c>
      <c r="W196" s="131">
        <f t="shared" si="27"/>
        <v>0</v>
      </c>
      <c r="X196" s="221">
        <f t="shared" si="28"/>
        <v>0</v>
      </c>
      <c r="Y196" s="222">
        <f t="shared" si="28"/>
        <v>0</v>
      </c>
      <c r="Z196" s="222">
        <f t="shared" si="29"/>
        <v>0</v>
      </c>
      <c r="AA196" s="228">
        <f t="shared" si="29"/>
        <v>0</v>
      </c>
      <c r="AB196" s="133">
        <f t="shared" si="30"/>
        <v>0</v>
      </c>
      <c r="AC196" s="300">
        <f t="shared" si="30"/>
        <v>0</v>
      </c>
    </row>
    <row r="197" spans="2:29" x14ac:dyDescent="0.2">
      <c r="B197" s="414"/>
      <c r="C197" s="302" t="s">
        <v>201</v>
      </c>
      <c r="D197" s="209" t="s">
        <v>204</v>
      </c>
      <c r="E197" s="150" t="e">
        <f t="shared" si="24"/>
        <v>#DIV/0!</v>
      </c>
      <c r="F197" s="151" t="e">
        <f t="shared" si="15"/>
        <v>#DIV/0!</v>
      </c>
      <c r="G197" s="151" t="e">
        <f t="shared" si="15"/>
        <v>#DIV/0!</v>
      </c>
      <c r="H197" s="151" t="e">
        <f t="shared" si="25"/>
        <v>#DIV/0!</v>
      </c>
      <c r="I197" s="152" t="e">
        <f t="shared" si="16"/>
        <v>#DIV/0!</v>
      </c>
      <c r="J197" s="277" t="e">
        <f t="shared" si="17"/>
        <v>#DIV/0!</v>
      </c>
      <c r="K197" s="278" t="e">
        <f t="shared" si="18"/>
        <v>#DIV/0!</v>
      </c>
      <c r="L197" s="324" t="e">
        <f t="shared" si="19"/>
        <v>#DIV/0!</v>
      </c>
      <c r="T197" s="302" t="s">
        <v>201</v>
      </c>
      <c r="U197" s="209" t="s">
        <v>134</v>
      </c>
      <c r="V197" s="93">
        <f t="shared" si="27"/>
        <v>0</v>
      </c>
      <c r="W197" s="131">
        <f t="shared" si="27"/>
        <v>0</v>
      </c>
      <c r="X197" s="221">
        <f t="shared" si="28"/>
        <v>0</v>
      </c>
      <c r="Y197" s="222">
        <f t="shared" si="28"/>
        <v>0</v>
      </c>
      <c r="Z197" s="222">
        <f t="shared" si="29"/>
        <v>0</v>
      </c>
      <c r="AA197" s="228">
        <f t="shared" si="29"/>
        <v>0</v>
      </c>
      <c r="AB197" s="133">
        <f t="shared" si="30"/>
        <v>0</v>
      </c>
      <c r="AC197" s="300">
        <f t="shared" si="30"/>
        <v>0</v>
      </c>
    </row>
    <row r="198" spans="2:29" x14ac:dyDescent="0.2">
      <c r="B198" s="414"/>
      <c r="C198" s="301"/>
      <c r="L198" s="284"/>
      <c r="T198" s="301"/>
      <c r="AC198" s="284"/>
    </row>
    <row r="199" spans="2:29" ht="15" thickBot="1" x14ac:dyDescent="0.25">
      <c r="B199" s="415"/>
      <c r="C199" s="302" t="s">
        <v>209</v>
      </c>
      <c r="D199" s="209" t="s">
        <v>204</v>
      </c>
      <c r="E199" s="150" t="e">
        <f>AA199/$D$178</f>
        <v>#DIV/0!</v>
      </c>
      <c r="F199" s="151" t="e">
        <f>AB199/$D$178</f>
        <v>#DIV/0!</v>
      </c>
      <c r="G199" s="153" t="e">
        <f>AC199/$D$178</f>
        <v>#DIV/0!</v>
      </c>
      <c r="H199" s="151" t="e">
        <f>SUM(F199,E199)</f>
        <v>#DIV/0!</v>
      </c>
      <c r="I199" s="152" t="e">
        <f>SUM(E199:G199)</f>
        <v>#DIV/0!</v>
      </c>
      <c r="J199" s="277" t="e">
        <f>SUM(X199,Y199,Z199,AA199)/$D$178</f>
        <v>#DIV/0!</v>
      </c>
      <c r="K199" s="278" t="e">
        <f>SUM(H199,J199)</f>
        <v>#DIV/0!</v>
      </c>
      <c r="L199" s="324" t="e">
        <f>SUM(I199,J199)</f>
        <v>#DIV/0!</v>
      </c>
      <c r="T199" s="303" t="s">
        <v>209</v>
      </c>
      <c r="U199" s="304" t="s">
        <v>134</v>
      </c>
      <c r="V199" s="305"/>
      <c r="W199" s="306"/>
      <c r="X199" s="307"/>
      <c r="Y199" s="307"/>
      <c r="Z199" s="307"/>
      <c r="AA199" s="307"/>
      <c r="AB199" s="306"/>
      <c r="AC199" s="308">
        <f>SUM(AC89:AC96,AC107,AC112,AC114)</f>
        <v>0</v>
      </c>
    </row>
    <row r="200" spans="2:29" ht="15" thickBot="1" x14ac:dyDescent="0.25">
      <c r="C200" s="325" t="s">
        <v>211</v>
      </c>
      <c r="D200" s="304" t="s">
        <v>204</v>
      </c>
      <c r="E200" s="326" t="e">
        <f>E180-E199</f>
        <v>#DIV/0!</v>
      </c>
      <c r="F200" s="327" t="e">
        <f t="shared" ref="F200:L200" si="31">F180-F199</f>
        <v>#DIV/0!</v>
      </c>
      <c r="G200" s="327" t="e">
        <f t="shared" si="31"/>
        <v>#DIV/0!</v>
      </c>
      <c r="H200" s="328" t="e">
        <f t="shared" si="31"/>
        <v>#DIV/0!</v>
      </c>
      <c r="I200" s="329" t="e">
        <f t="shared" si="31"/>
        <v>#DIV/0!</v>
      </c>
      <c r="J200" s="330" t="e">
        <f t="shared" si="31"/>
        <v>#DIV/0!</v>
      </c>
      <c r="K200" s="331" t="e">
        <f t="shared" si="31"/>
        <v>#DIV/0!</v>
      </c>
      <c r="L200" s="332" t="e">
        <f t="shared" si="31"/>
        <v>#DIV/0!</v>
      </c>
    </row>
  </sheetData>
  <mergeCells count="45">
    <mergeCell ref="B178:B199"/>
    <mergeCell ref="T178:T180"/>
    <mergeCell ref="O86:R86"/>
    <mergeCell ref="S86:U87"/>
    <mergeCell ref="V86:AC86"/>
    <mergeCell ref="AD86:AD88"/>
    <mergeCell ref="L87:N87"/>
    <mergeCell ref="H177:I177"/>
    <mergeCell ref="K177:L177"/>
    <mergeCell ref="B78:C79"/>
    <mergeCell ref="G82:M82"/>
    <mergeCell ref="G83:M83"/>
    <mergeCell ref="B86:B88"/>
    <mergeCell ref="C86:C88"/>
    <mergeCell ref="D86:D88"/>
    <mergeCell ref="F86:G86"/>
    <mergeCell ref="H86:N86"/>
    <mergeCell ref="C68:C72"/>
    <mergeCell ref="B20:C20"/>
    <mergeCell ref="F20:H20"/>
    <mergeCell ref="G24:H24"/>
    <mergeCell ref="C25:C27"/>
    <mergeCell ref="G25:H41"/>
    <mergeCell ref="C28:C31"/>
    <mergeCell ref="C32:C34"/>
    <mergeCell ref="C35:C37"/>
    <mergeCell ref="C38:C41"/>
    <mergeCell ref="B44:D44"/>
    <mergeCell ref="C45:C48"/>
    <mergeCell ref="C49:C50"/>
    <mergeCell ref="C51:C63"/>
    <mergeCell ref="C64:C67"/>
    <mergeCell ref="B19:C19"/>
    <mergeCell ref="B5:C5"/>
    <mergeCell ref="B13:C13"/>
    <mergeCell ref="D13:H13"/>
    <mergeCell ref="B14:C14"/>
    <mergeCell ref="D14:H14"/>
    <mergeCell ref="B15:C15"/>
    <mergeCell ref="D15:H15"/>
    <mergeCell ref="B16:C16"/>
    <mergeCell ref="D16:H16"/>
    <mergeCell ref="B17:C17"/>
    <mergeCell ref="D17:H17"/>
    <mergeCell ref="B18:C18"/>
  </mergeCells>
  <conditionalFormatting sqref="E160:E162">
    <cfRule type="cellIs" dxfId="11" priority="2" operator="equal">
      <formula>"na"</formula>
    </cfRule>
  </conditionalFormatting>
  <conditionalFormatting sqref="E113:G113">
    <cfRule type="cellIs" dxfId="10" priority="5" operator="equal">
      <formula>"na"</formula>
    </cfRule>
  </conditionalFormatting>
  <conditionalFormatting sqref="E116:G117">
    <cfRule type="cellIs" dxfId="9" priority="1" operator="equal">
      <formula>"na"</formula>
    </cfRule>
  </conditionalFormatting>
  <conditionalFormatting sqref="E128:G131">
    <cfRule type="cellIs" dxfId="8" priority="3" operator="equal">
      <formula>"na"</formula>
    </cfRule>
  </conditionalFormatting>
  <conditionalFormatting sqref="H89:U89 H90:R173 U90:U173">
    <cfRule type="cellIs" dxfId="7" priority="6" operator="equal">
      <formula>"na"</formula>
    </cfRule>
  </conditionalFormatting>
  <dataValidations count="9">
    <dataValidation type="decimal" operator="greaterThan" allowBlank="1" showInputMessage="1" showErrorMessage="1" sqref="S90:U107 U89 S111:T111 S172:T172 S124:T124 S160:T162 U164:U173 U109:U154" xr:uid="{316D4659-8A04-B548-91BA-327C560D1F33}">
      <formula1>0.000001</formula1>
    </dataValidation>
    <dataValidation type="decimal" operator="greaterThan" allowBlank="1" showInputMessage="1" showErrorMessage="1" errorTitle="Wrong format" error="The minimum value allowed is 0.000001 (six decimal spaces).  " sqref="R172:R173 O89:Q173" xr:uid="{5C63BFFC-3E67-A044-AED9-384845202ECB}">
      <formula1>0.000001</formula1>
    </dataValidation>
    <dataValidation allowBlank="1" showInputMessage="1" showErrorMessage="1" errorTitle="Data Format" error="The value entered does not match the format of cell._x000a__x000a_This is a fixed value cell. It should be left blank." sqref="N90:N96 N112 N114" xr:uid="{A379C2E8-141B-C546-AB39-ADC58ED758A1}"/>
    <dataValidation allowBlank="1" showInputMessage="1" showErrorMessage="1" prompt="add any information necessary to clarify the site structure" sqref="G82:G83" xr:uid="{3AB744E9-25F4-6E4F-AEB1-57C6A64E59C0}"/>
    <dataValidation type="list" allowBlank="1" showInputMessage="1" showErrorMessage="1" errorTitle="Grid Not Recognized" error="The value entered does not correspond to one of the Sources of Electricity Grid Information accpeted by the worldsteel methodology." sqref="U155" xr:uid="{5B53FCF0-0F60-4146-8FD8-AA1693ECC297}">
      <formula1>$E$81:$E$83</formula1>
    </dataValidation>
    <dataValidation allowBlank="1" showInputMessage="1" showErrorMessage="1" errorTitle="Grid Not Recognized" error="The value entered does not correspond to one of the Sources of Electricity Grid Information accpeted by the worldsteel methodology." sqref="N155" xr:uid="{A25AAFB9-EC66-C043-BC74-0A5F04B3BE73}"/>
    <dataValidation type="custom" allowBlank="1" showInputMessage="1" showErrorMessage="1" errorTitle="Data format " error="The value entered does not match the format of cell._x000a_The value entered does not match the format of cell._x000a__x000a_This is a fixed value cell." sqref="R170:R171 K170:M171" xr:uid="{6ABBD03C-27BF-2548-8EFA-A0C4B3E23A89}">
      <formula1>1</formula1>
    </dataValidation>
    <dataValidation type="textLength" showInputMessage="1" showErrorMessage="1" errorTitle="Data format" error="The value entered does not match the format of cell._x000a__x000a_Year value should be 4 integer digit. i.e. 2007" sqref="D43 D22:D40 E21 D13:D20" xr:uid="{222C3069-F5E5-9E41-84C5-F3B31682D6CD}">
      <formula1>4</formula1>
      <formula2>4</formula2>
    </dataValidation>
    <dataValidation type="custom" allowBlank="1" showInputMessage="1" showErrorMessage="1" errorTitle="Data Format" error="The value entered does not match the format of cell._x000a__x000a_This is a fixed value cell. It should be left blank." sqref="J100:J105 J108:J110 J115:J118 J163:K163 K164:K169 J166:J173 N99:N101 N105 J113:M113 K108:M111 R163:R169 N170:N173 R155:R159 R113 Q174 R108:R111 R115:R117 R124 R98 N89 L163:M169 J98:N98 X174:AC174 J155:M159 K124:M124 K115:M117" xr:uid="{6E07D068-71E2-9143-AF2A-35E690C371C9}">
      <formula1>0</formula1>
    </dataValidation>
  </dataValidations>
  <pageMargins left="0.7" right="0.7" top="0.75" bottom="0.75" header="0.3" footer="0.3"/>
  <pageSetup paperSize="9" scale="2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7040-7F56-5D48-9351-D8B475E0A420}">
  <sheetPr>
    <tabColor theme="4" tint="0.79998168889431442"/>
    <pageSetUpPr fitToPage="1"/>
  </sheetPr>
  <dimension ref="A3:AG200"/>
  <sheetViews>
    <sheetView showGridLines="0" topLeftCell="A196" zoomScale="125" zoomScaleNormal="40" zoomScaleSheetLayoutView="100" workbookViewId="0">
      <selection activeCell="F84" sqref="F84"/>
    </sheetView>
  </sheetViews>
  <sheetFormatPr baseColWidth="10" defaultColWidth="8.83203125" defaultRowHeight="14" x14ac:dyDescent="0.2"/>
  <cols>
    <col min="1" max="1" width="3.33203125" style="25" customWidth="1"/>
    <col min="2" max="2" width="18.33203125" style="25" customWidth="1"/>
    <col min="3" max="3" width="24" style="25" customWidth="1"/>
    <col min="4" max="4" width="21.33203125" style="25" customWidth="1"/>
    <col min="5" max="5" width="27.33203125" style="25" customWidth="1"/>
    <col min="6" max="6" width="13.33203125" style="25" customWidth="1"/>
    <col min="7" max="7" width="15" style="25" customWidth="1"/>
    <col min="8" max="8" width="14.5" style="25" customWidth="1"/>
    <col min="9" max="9" width="15" style="25" customWidth="1"/>
    <col min="10" max="10" width="13.33203125" style="25" customWidth="1"/>
    <col min="11" max="11" width="15.33203125" style="25" customWidth="1"/>
    <col min="12" max="12" width="14" style="25" customWidth="1"/>
    <col min="13" max="15" width="13.33203125" style="25" customWidth="1"/>
    <col min="16" max="16" width="16" style="25" customWidth="1"/>
    <col min="17" max="17" width="15.1640625" style="25" customWidth="1"/>
    <col min="18" max="18" width="17" style="25" customWidth="1"/>
    <col min="19" max="19" width="13.33203125" style="25" customWidth="1"/>
    <col min="20" max="20" width="16.83203125" style="25" customWidth="1"/>
    <col min="21" max="21" width="13.33203125" style="25" customWidth="1"/>
    <col min="22" max="29" width="14.1640625" style="25" customWidth="1"/>
    <col min="30" max="30" width="36.33203125" style="25" customWidth="1"/>
    <col min="31" max="33" width="11.1640625" style="25" customWidth="1"/>
    <col min="34" max="34" width="13.6640625" style="25" bestFit="1" customWidth="1"/>
    <col min="35" max="35" width="12" style="25" bestFit="1" customWidth="1"/>
    <col min="36" max="36" width="11.1640625" style="25" customWidth="1"/>
    <col min="37" max="38" width="13.6640625" style="25" bestFit="1" customWidth="1"/>
    <col min="39" max="39" width="11.1640625" style="25" customWidth="1"/>
    <col min="40" max="40" width="15.33203125" style="25" bestFit="1" customWidth="1"/>
    <col min="41" max="53" width="11.1640625" style="25" customWidth="1"/>
    <col min="54" max="16384" width="8.83203125" style="25"/>
  </cols>
  <sheetData>
    <row r="3" spans="1:15" ht="34" x14ac:dyDescent="0.2">
      <c r="B3" s="182" t="s">
        <v>271</v>
      </c>
    </row>
    <row r="5" spans="1:15" ht="16" x14ac:dyDescent="0.2">
      <c r="B5" s="403" t="s">
        <v>303</v>
      </c>
      <c r="C5" s="403"/>
      <c r="D5" s="286"/>
      <c r="E5" s="286"/>
    </row>
    <row r="6" spans="1:15" x14ac:dyDescent="0.2">
      <c r="B6" s="280"/>
      <c r="C6" s="287" t="s">
        <v>110</v>
      </c>
      <c r="D6" s="27"/>
      <c r="E6" s="27"/>
    </row>
    <row r="7" spans="1:15" x14ac:dyDescent="0.2">
      <c r="B7" s="281"/>
      <c r="C7" s="288" t="s">
        <v>99</v>
      </c>
    </row>
    <row r="8" spans="1:15" x14ac:dyDescent="0.2">
      <c r="B8" s="282"/>
      <c r="C8" s="288" t="s">
        <v>100</v>
      </c>
    </row>
    <row r="9" spans="1:15" x14ac:dyDescent="0.2">
      <c r="B9" s="283"/>
      <c r="C9" s="287" t="s">
        <v>302</v>
      </c>
    </row>
    <row r="10" spans="1:15" ht="17" customHeight="1" x14ac:dyDescent="0.2">
      <c r="B10" s="337"/>
      <c r="C10" s="338" t="s">
        <v>316</v>
      </c>
      <c r="D10" s="157"/>
      <c r="E10" s="157"/>
      <c r="I10" s="26"/>
      <c r="J10" s="26"/>
      <c r="M10" s="26"/>
      <c r="N10" s="26"/>
    </row>
    <row r="11" spans="1:15" ht="17" customHeight="1" x14ac:dyDescent="0.2">
      <c r="I11" s="27"/>
      <c r="J11" s="27"/>
      <c r="M11" s="27"/>
      <c r="N11" s="27"/>
    </row>
    <row r="12" spans="1:15" ht="16" customHeight="1" x14ac:dyDescent="0.2">
      <c r="B12" s="156" t="s">
        <v>267</v>
      </c>
      <c r="D12" s="285"/>
      <c r="I12" s="27"/>
      <c r="J12" s="27"/>
      <c r="M12" s="27"/>
      <c r="N12" s="27"/>
    </row>
    <row r="13" spans="1:15" ht="16" customHeight="1" x14ac:dyDescent="0.2">
      <c r="B13" s="399" t="s">
        <v>0</v>
      </c>
      <c r="C13" s="400"/>
      <c r="D13" s="401"/>
      <c r="E13" s="401"/>
      <c r="F13" s="401"/>
      <c r="G13" s="401"/>
      <c r="H13" s="401"/>
      <c r="I13" s="27"/>
      <c r="J13" s="27"/>
      <c r="M13" s="27"/>
      <c r="N13" s="27"/>
    </row>
    <row r="14" spans="1:15" ht="16" customHeight="1" x14ac:dyDescent="0.2">
      <c r="B14" s="399" t="s">
        <v>1</v>
      </c>
      <c r="C14" s="400"/>
      <c r="D14" s="401"/>
      <c r="E14" s="402"/>
      <c r="F14" s="402"/>
      <c r="G14" s="402"/>
      <c r="H14" s="402"/>
      <c r="I14" s="27"/>
      <c r="J14" s="27"/>
      <c r="M14" s="27"/>
      <c r="N14" s="27"/>
    </row>
    <row r="15" spans="1:15" ht="16" x14ac:dyDescent="0.2">
      <c r="A15" s="27"/>
      <c r="B15" s="399" t="s">
        <v>90</v>
      </c>
      <c r="C15" s="400"/>
      <c r="D15" s="401"/>
      <c r="E15" s="402"/>
      <c r="F15" s="402"/>
      <c r="G15" s="402"/>
      <c r="H15" s="402"/>
      <c r="J15" s="37"/>
      <c r="L15" s="95"/>
      <c r="M15" s="42"/>
      <c r="N15" s="28"/>
      <c r="O15" s="27"/>
    </row>
    <row r="16" spans="1:15" ht="16" x14ac:dyDescent="0.2">
      <c r="A16" s="27"/>
      <c r="B16" s="396" t="s">
        <v>213</v>
      </c>
      <c r="C16" s="397"/>
      <c r="D16" s="401"/>
      <c r="E16" s="402"/>
      <c r="F16" s="402"/>
      <c r="G16" s="402"/>
      <c r="H16" s="402"/>
      <c r="J16" s="37"/>
      <c r="L16" s="95"/>
      <c r="M16" s="42"/>
      <c r="N16" s="28"/>
      <c r="O16" s="27"/>
    </row>
    <row r="17" spans="1:16" ht="16" x14ac:dyDescent="0.2">
      <c r="A17" s="27"/>
      <c r="B17" s="396" t="s">
        <v>214</v>
      </c>
      <c r="C17" s="397"/>
      <c r="D17" s="401"/>
      <c r="E17" s="401"/>
      <c r="F17" s="401"/>
      <c r="G17" s="401"/>
      <c r="H17" s="401"/>
      <c r="J17" s="37"/>
      <c r="L17" s="95"/>
      <c r="M17" s="42"/>
      <c r="N17" s="28"/>
      <c r="O17" s="27"/>
    </row>
    <row r="18" spans="1:16" ht="17" x14ac:dyDescent="0.2">
      <c r="A18" s="27"/>
      <c r="B18" s="396" t="s">
        <v>215</v>
      </c>
      <c r="C18" s="397"/>
      <c r="D18" s="159"/>
      <c r="E18" s="158" t="s">
        <v>216</v>
      </c>
      <c r="F18" s="159"/>
      <c r="G18" s="158" t="s">
        <v>217</v>
      </c>
      <c r="H18" s="159"/>
      <c r="J18" s="37"/>
      <c r="L18" s="95"/>
      <c r="M18" s="42"/>
      <c r="N18" s="28"/>
      <c r="O18" s="27"/>
    </row>
    <row r="19" spans="1:16" ht="17" x14ac:dyDescent="0.2">
      <c r="A19" s="27"/>
      <c r="B19" s="396" t="s">
        <v>218</v>
      </c>
      <c r="C19" s="397"/>
      <c r="D19" s="159"/>
      <c r="E19" s="158" t="s">
        <v>219</v>
      </c>
      <c r="F19" s="159"/>
      <c r="G19" s="158" t="s">
        <v>220</v>
      </c>
      <c r="H19" s="159"/>
      <c r="J19" s="37"/>
      <c r="L19" s="95"/>
      <c r="M19" s="42"/>
      <c r="N19" s="28"/>
      <c r="O19" s="27"/>
    </row>
    <row r="20" spans="1:16" ht="17" x14ac:dyDescent="0.2">
      <c r="A20" s="27"/>
      <c r="B20" s="396" t="s">
        <v>217</v>
      </c>
      <c r="C20" s="397"/>
      <c r="D20" s="159"/>
      <c r="E20" s="158" t="s">
        <v>221</v>
      </c>
      <c r="F20" s="398"/>
      <c r="G20" s="398"/>
      <c r="H20" s="398"/>
      <c r="J20" s="37"/>
      <c r="L20" s="95"/>
      <c r="M20" s="42"/>
      <c r="N20" s="28"/>
      <c r="O20" s="27"/>
    </row>
    <row r="21" spans="1:16" ht="16" x14ac:dyDescent="0.2">
      <c r="A21" s="27"/>
      <c r="B21" s="27"/>
      <c r="C21" s="160"/>
      <c r="D21" s="161"/>
      <c r="E21" s="162"/>
      <c r="F21" s="162"/>
      <c r="G21" s="162"/>
      <c r="H21" s="162"/>
      <c r="I21" s="162"/>
      <c r="K21" s="37"/>
      <c r="M21" s="95"/>
      <c r="N21" s="42"/>
      <c r="O21" s="28"/>
      <c r="P21" s="27"/>
    </row>
    <row r="22" spans="1:16" ht="16" x14ac:dyDescent="0.2">
      <c r="A22" s="27"/>
      <c r="B22" s="163" t="s">
        <v>268</v>
      </c>
      <c r="C22" s="157"/>
      <c r="D22" s="157"/>
      <c r="E22" s="157"/>
      <c r="F22" s="157"/>
      <c r="G22" s="157"/>
      <c r="H22" s="157"/>
      <c r="J22" s="37"/>
      <c r="L22" s="95"/>
      <c r="M22" s="42"/>
      <c r="N22" s="28"/>
      <c r="O22" s="27"/>
    </row>
    <row r="23" spans="1:16" ht="16" x14ac:dyDescent="0.2">
      <c r="A23" s="27"/>
      <c r="B23" s="164" t="s">
        <v>222</v>
      </c>
      <c r="C23" s="165"/>
      <c r="D23" s="165"/>
      <c r="E23" s="165"/>
      <c r="F23" s="165"/>
      <c r="G23" s="165"/>
      <c r="H23" s="165"/>
      <c r="J23" s="37"/>
      <c r="L23" s="95"/>
      <c r="M23" s="42"/>
      <c r="N23" s="28"/>
      <c r="O23" s="27"/>
    </row>
    <row r="24" spans="1:16" ht="34" customHeight="1" x14ac:dyDescent="0.2">
      <c r="A24" s="27"/>
      <c r="B24" s="166" t="s">
        <v>223</v>
      </c>
      <c r="C24" s="167" t="s">
        <v>224</v>
      </c>
      <c r="D24" s="168" t="s">
        <v>225</v>
      </c>
      <c r="E24" s="169" t="s">
        <v>94</v>
      </c>
      <c r="F24" s="169" t="s">
        <v>226</v>
      </c>
      <c r="G24" s="419" t="s">
        <v>227</v>
      </c>
      <c r="H24" s="419"/>
      <c r="J24" s="37"/>
      <c r="L24" s="95"/>
      <c r="M24" s="42"/>
      <c r="N24" s="28"/>
      <c r="O24" s="27"/>
    </row>
    <row r="25" spans="1:16" ht="17" x14ac:dyDescent="0.2">
      <c r="A25" s="27"/>
      <c r="B25" s="170">
        <v>1</v>
      </c>
      <c r="C25" s="416" t="s">
        <v>228</v>
      </c>
      <c r="D25" s="183" t="s">
        <v>229</v>
      </c>
      <c r="E25" s="159"/>
      <c r="F25" s="159"/>
      <c r="G25" s="398"/>
      <c r="H25" s="398"/>
      <c r="J25" s="37"/>
      <c r="L25" s="95"/>
      <c r="M25" s="42"/>
      <c r="N25" s="28"/>
      <c r="O25" s="27"/>
    </row>
    <row r="26" spans="1:16" ht="17" x14ac:dyDescent="0.2">
      <c r="A26" s="27"/>
      <c r="B26" s="170">
        <v>2</v>
      </c>
      <c r="C26" s="417"/>
      <c r="D26" s="183" t="s">
        <v>3</v>
      </c>
      <c r="E26" s="159"/>
      <c r="F26" s="159"/>
      <c r="G26" s="398"/>
      <c r="H26" s="398"/>
      <c r="J26" s="37"/>
      <c r="L26" s="95"/>
      <c r="M26" s="42"/>
      <c r="N26" s="28"/>
      <c r="O26" s="27"/>
    </row>
    <row r="27" spans="1:16" ht="17" x14ac:dyDescent="0.2">
      <c r="A27" s="27"/>
      <c r="B27" s="170">
        <v>3</v>
      </c>
      <c r="C27" s="418"/>
      <c r="D27" s="183" t="s">
        <v>2</v>
      </c>
      <c r="E27" s="159"/>
      <c r="F27" s="159"/>
      <c r="G27" s="398"/>
      <c r="H27" s="398"/>
      <c r="J27" s="37"/>
      <c r="L27" s="95"/>
      <c r="M27" s="42"/>
      <c r="N27" s="28"/>
      <c r="O27" s="27"/>
    </row>
    <row r="28" spans="1:16" ht="17" x14ac:dyDescent="0.2">
      <c r="A28" s="27"/>
      <c r="B28" s="170">
        <v>4</v>
      </c>
      <c r="C28" s="416" t="s">
        <v>230</v>
      </c>
      <c r="D28" s="183" t="s">
        <v>231</v>
      </c>
      <c r="E28" s="159"/>
      <c r="F28" s="159"/>
      <c r="G28" s="398"/>
      <c r="H28" s="398"/>
      <c r="J28" s="37"/>
      <c r="L28" s="95"/>
      <c r="M28" s="42"/>
      <c r="N28" s="28"/>
      <c r="O28" s="27"/>
    </row>
    <row r="29" spans="1:16" ht="34" x14ac:dyDescent="0.2">
      <c r="A29" s="27"/>
      <c r="B29" s="170">
        <v>5</v>
      </c>
      <c r="C29" s="417"/>
      <c r="D29" s="183" t="s">
        <v>232</v>
      </c>
      <c r="E29" s="159"/>
      <c r="F29" s="159"/>
      <c r="G29" s="398"/>
      <c r="H29" s="398"/>
      <c r="J29" s="37"/>
      <c r="L29" s="95"/>
      <c r="M29" s="42"/>
      <c r="N29" s="28"/>
      <c r="O29" s="27"/>
    </row>
    <row r="30" spans="1:16" ht="17" x14ac:dyDescent="0.2">
      <c r="A30" s="27"/>
      <c r="B30" s="170">
        <v>6</v>
      </c>
      <c r="C30" s="417"/>
      <c r="D30" s="183" t="s">
        <v>233</v>
      </c>
      <c r="E30" s="159"/>
      <c r="F30" s="159"/>
      <c r="G30" s="398"/>
      <c r="H30" s="398"/>
      <c r="J30" s="37"/>
      <c r="L30" s="95"/>
      <c r="M30" s="42"/>
      <c r="N30" s="28"/>
      <c r="O30" s="27"/>
    </row>
    <row r="31" spans="1:16" ht="17" x14ac:dyDescent="0.2">
      <c r="A31" s="27"/>
      <c r="B31" s="170">
        <v>7</v>
      </c>
      <c r="C31" s="418"/>
      <c r="D31" s="183" t="s">
        <v>234</v>
      </c>
      <c r="E31" s="159"/>
      <c r="F31" s="159"/>
      <c r="G31" s="398"/>
      <c r="H31" s="398"/>
      <c r="J31" s="37"/>
      <c r="L31" s="95"/>
      <c r="M31" s="42"/>
      <c r="N31" s="28"/>
      <c r="O31" s="27"/>
    </row>
    <row r="32" spans="1:16" ht="34" x14ac:dyDescent="0.2">
      <c r="A32" s="27"/>
      <c r="B32" s="170">
        <v>8</v>
      </c>
      <c r="C32" s="416" t="s">
        <v>235</v>
      </c>
      <c r="D32" s="183" t="s">
        <v>236</v>
      </c>
      <c r="E32" s="159"/>
      <c r="F32" s="159"/>
      <c r="G32" s="398"/>
      <c r="H32" s="398"/>
      <c r="J32" s="37"/>
      <c r="L32" s="95"/>
      <c r="M32" s="42"/>
      <c r="N32" s="28"/>
      <c r="O32" s="27"/>
    </row>
    <row r="33" spans="1:16" ht="17" x14ac:dyDescent="0.2">
      <c r="A33" s="27"/>
      <c r="B33" s="170">
        <v>9</v>
      </c>
      <c r="C33" s="417"/>
      <c r="D33" s="183" t="s">
        <v>237</v>
      </c>
      <c r="E33" s="159"/>
      <c r="F33" s="159"/>
      <c r="G33" s="398"/>
      <c r="H33" s="398"/>
      <c r="J33" s="37"/>
      <c r="L33" s="95"/>
      <c r="M33" s="42"/>
      <c r="N33" s="28"/>
      <c r="O33" s="27"/>
    </row>
    <row r="34" spans="1:16" ht="17" x14ac:dyDescent="0.2">
      <c r="A34" s="27"/>
      <c r="B34" s="170">
        <v>10</v>
      </c>
      <c r="C34" s="418"/>
      <c r="D34" s="183" t="s">
        <v>238</v>
      </c>
      <c r="E34" s="159"/>
      <c r="F34" s="159"/>
      <c r="G34" s="398"/>
      <c r="H34" s="398"/>
      <c r="J34" s="37"/>
      <c r="L34" s="95"/>
      <c r="M34" s="42"/>
      <c r="N34" s="28"/>
      <c r="O34" s="27"/>
    </row>
    <row r="35" spans="1:16" ht="17" x14ac:dyDescent="0.2">
      <c r="A35" s="27"/>
      <c r="B35" s="170">
        <v>11</v>
      </c>
      <c r="C35" s="416" t="s">
        <v>239</v>
      </c>
      <c r="D35" s="183" t="s">
        <v>240</v>
      </c>
      <c r="E35" s="159"/>
      <c r="F35" s="159"/>
      <c r="G35" s="398"/>
      <c r="H35" s="398"/>
      <c r="J35" s="37"/>
      <c r="L35" s="95"/>
      <c r="M35" s="42"/>
      <c r="N35" s="28"/>
      <c r="O35" s="27"/>
    </row>
    <row r="36" spans="1:16" ht="17" x14ac:dyDescent="0.2">
      <c r="A36" s="27"/>
      <c r="B36" s="170">
        <v>12</v>
      </c>
      <c r="C36" s="417"/>
      <c r="D36" s="183" t="s">
        <v>241</v>
      </c>
      <c r="E36" s="159"/>
      <c r="F36" s="159"/>
      <c r="G36" s="398"/>
      <c r="H36" s="398"/>
      <c r="J36" s="37"/>
      <c r="L36" s="95"/>
      <c r="M36" s="42"/>
      <c r="N36" s="28"/>
      <c r="O36" s="27"/>
    </row>
    <row r="37" spans="1:16" ht="17" x14ac:dyDescent="0.2">
      <c r="A37" s="27"/>
      <c r="B37" s="170">
        <v>13</v>
      </c>
      <c r="C37" s="418"/>
      <c r="D37" s="183" t="s">
        <v>242</v>
      </c>
      <c r="E37" s="159"/>
      <c r="F37" s="159"/>
      <c r="G37" s="398"/>
      <c r="H37" s="398"/>
      <c r="J37" s="37"/>
      <c r="L37" s="95"/>
      <c r="M37" s="42"/>
      <c r="N37" s="28"/>
      <c r="O37" s="27"/>
    </row>
    <row r="38" spans="1:16" ht="17" x14ac:dyDescent="0.2">
      <c r="A38" s="27"/>
      <c r="B38" s="170">
        <v>14</v>
      </c>
      <c r="C38" s="419" t="s">
        <v>243</v>
      </c>
      <c r="D38" s="183" t="s">
        <v>244</v>
      </c>
      <c r="E38" s="159"/>
      <c r="F38" s="159"/>
      <c r="G38" s="398"/>
      <c r="H38" s="398"/>
      <c r="J38" s="37"/>
      <c r="L38" s="95"/>
      <c r="M38" s="42"/>
      <c r="N38" s="28"/>
      <c r="O38" s="27"/>
    </row>
    <row r="39" spans="1:16" ht="17" x14ac:dyDescent="0.2">
      <c r="A39" s="27"/>
      <c r="B39" s="170">
        <v>15</v>
      </c>
      <c r="C39" s="419"/>
      <c r="D39" s="183" t="s">
        <v>245</v>
      </c>
      <c r="E39" s="159"/>
      <c r="F39" s="159"/>
      <c r="G39" s="398"/>
      <c r="H39" s="398"/>
      <c r="J39" s="37"/>
      <c r="L39" s="95"/>
      <c r="M39" s="42"/>
      <c r="N39" s="28"/>
      <c r="O39" s="27"/>
    </row>
    <row r="40" spans="1:16" ht="17" x14ac:dyDescent="0.2">
      <c r="A40" s="27"/>
      <c r="B40" s="170">
        <v>16</v>
      </c>
      <c r="C40" s="419"/>
      <c r="D40" s="183" t="s">
        <v>246</v>
      </c>
      <c r="E40" s="159"/>
      <c r="F40" s="159"/>
      <c r="G40" s="398"/>
      <c r="H40" s="398"/>
      <c r="J40" s="37"/>
      <c r="L40" s="95"/>
      <c r="M40" s="42"/>
      <c r="N40" s="28"/>
      <c r="O40" s="27"/>
    </row>
    <row r="41" spans="1:16" ht="17" x14ac:dyDescent="0.2">
      <c r="A41" s="27"/>
      <c r="B41" s="170">
        <v>18</v>
      </c>
      <c r="C41" s="419"/>
      <c r="D41" s="183" t="s">
        <v>247</v>
      </c>
      <c r="E41" s="159"/>
      <c r="F41" s="159"/>
      <c r="G41" s="398"/>
      <c r="H41" s="398"/>
      <c r="J41" s="37"/>
      <c r="L41" s="95"/>
      <c r="M41" s="42"/>
      <c r="N41" s="28"/>
      <c r="O41" s="27"/>
    </row>
    <row r="42" spans="1:16" ht="16" x14ac:dyDescent="0.2">
      <c r="A42" s="27"/>
      <c r="B42" s="27"/>
      <c r="C42" s="171"/>
      <c r="D42" s="172"/>
      <c r="E42" s="173"/>
      <c r="F42" s="174"/>
      <c r="G42" s="174"/>
      <c r="H42" s="175"/>
      <c r="I42" s="175"/>
      <c r="K42" s="37"/>
      <c r="M42" s="95"/>
      <c r="N42" s="42"/>
      <c r="O42" s="28"/>
      <c r="P42" s="27"/>
    </row>
    <row r="43" spans="1:16" ht="16" x14ac:dyDescent="0.2">
      <c r="A43" s="27"/>
      <c r="B43" s="163" t="s">
        <v>269</v>
      </c>
      <c r="C43" s="213"/>
      <c r="D43" s="214"/>
      <c r="E43" s="214"/>
      <c r="F43" s="215"/>
      <c r="G43" s="216"/>
      <c r="H43" s="216"/>
      <c r="J43" s="37"/>
      <c r="L43" s="95"/>
      <c r="M43" s="42"/>
      <c r="N43" s="28"/>
      <c r="O43" s="27"/>
    </row>
    <row r="44" spans="1:16" ht="16" x14ac:dyDescent="0.2">
      <c r="A44" s="27"/>
      <c r="B44" s="431" t="s">
        <v>248</v>
      </c>
      <c r="C44" s="431"/>
      <c r="D44" s="431"/>
      <c r="E44" s="176" t="s">
        <v>93</v>
      </c>
      <c r="F44" s="176" t="s">
        <v>249</v>
      </c>
      <c r="G44" s="176" t="s">
        <v>250</v>
      </c>
      <c r="H44" s="177" t="s">
        <v>251</v>
      </c>
      <c r="J44" s="37"/>
      <c r="L44" s="95"/>
      <c r="M44" s="42"/>
      <c r="N44" s="28"/>
      <c r="O44" s="27"/>
    </row>
    <row r="45" spans="1:16" ht="16" x14ac:dyDescent="0.2">
      <c r="A45" s="27"/>
      <c r="B45" s="170">
        <v>1</v>
      </c>
      <c r="C45" s="432" t="s">
        <v>104</v>
      </c>
      <c r="D45" s="184" t="s">
        <v>21</v>
      </c>
      <c r="E45" s="185" t="s">
        <v>14</v>
      </c>
      <c r="F45" s="154"/>
      <c r="G45" s="159"/>
      <c r="H45" s="159"/>
      <c r="J45" s="37"/>
      <c r="L45" s="95"/>
      <c r="M45" s="42"/>
      <c r="N45" s="28"/>
      <c r="O45" s="27"/>
    </row>
    <row r="46" spans="1:16" ht="16" x14ac:dyDescent="0.2">
      <c r="A46" s="27"/>
      <c r="B46" s="170">
        <v>2</v>
      </c>
      <c r="C46" s="432"/>
      <c r="D46" s="184" t="s">
        <v>34</v>
      </c>
      <c r="E46" s="185" t="s">
        <v>27</v>
      </c>
      <c r="F46" s="159"/>
      <c r="G46" s="159"/>
      <c r="H46" s="159"/>
      <c r="J46" s="37"/>
      <c r="L46" s="95"/>
      <c r="M46" s="42"/>
      <c r="N46" s="28"/>
      <c r="O46" s="27"/>
    </row>
    <row r="47" spans="1:16" ht="16" x14ac:dyDescent="0.2">
      <c r="A47" s="27"/>
      <c r="B47" s="170">
        <v>3</v>
      </c>
      <c r="C47" s="432"/>
      <c r="D47" s="184" t="s">
        <v>273</v>
      </c>
      <c r="E47" s="185" t="s">
        <v>27</v>
      </c>
      <c r="F47" s="159"/>
      <c r="G47" s="159"/>
      <c r="H47" s="159"/>
      <c r="J47" s="37"/>
      <c r="L47" s="95"/>
      <c r="M47" s="42"/>
      <c r="N47" s="28"/>
      <c r="O47" s="27"/>
    </row>
    <row r="48" spans="1:16" ht="16" x14ac:dyDescent="0.2">
      <c r="A48" s="27"/>
      <c r="B48" s="170">
        <v>4</v>
      </c>
      <c r="C48" s="432"/>
      <c r="D48" s="184" t="s">
        <v>252</v>
      </c>
      <c r="E48" s="185" t="s">
        <v>27</v>
      </c>
      <c r="F48" s="178"/>
      <c r="G48" s="178"/>
      <c r="H48" s="178"/>
      <c r="J48" s="37"/>
      <c r="L48" s="95"/>
      <c r="M48" s="42"/>
      <c r="N48" s="28"/>
      <c r="O48" s="27"/>
    </row>
    <row r="49" spans="1:15" ht="16" x14ac:dyDescent="0.2">
      <c r="A49" s="27"/>
      <c r="B49" s="170">
        <v>5</v>
      </c>
      <c r="C49" s="432" t="s">
        <v>103</v>
      </c>
      <c r="D49" s="184" t="s">
        <v>253</v>
      </c>
      <c r="E49" s="185" t="s">
        <v>27</v>
      </c>
      <c r="F49" s="159"/>
      <c r="G49" s="159"/>
      <c r="H49" s="159"/>
      <c r="J49" s="37"/>
      <c r="L49" s="95"/>
      <c r="M49" s="42"/>
      <c r="N49" s="28"/>
      <c r="O49" s="27"/>
    </row>
    <row r="50" spans="1:15" ht="16" x14ac:dyDescent="0.2">
      <c r="A50" s="27"/>
      <c r="B50" s="170">
        <v>6</v>
      </c>
      <c r="C50" s="432"/>
      <c r="D50" s="184" t="s">
        <v>254</v>
      </c>
      <c r="E50" s="185" t="s">
        <v>27</v>
      </c>
      <c r="F50" s="159"/>
      <c r="G50" s="159"/>
      <c r="H50" s="159"/>
      <c r="J50" s="37"/>
      <c r="L50" s="95"/>
      <c r="M50" s="42"/>
      <c r="N50" s="28"/>
      <c r="O50" s="27"/>
    </row>
    <row r="51" spans="1:15" ht="17" x14ac:dyDescent="0.2">
      <c r="A51" s="27"/>
      <c r="B51" s="170">
        <v>7</v>
      </c>
      <c r="C51" s="432" t="s">
        <v>105</v>
      </c>
      <c r="D51" s="186" t="s">
        <v>255</v>
      </c>
      <c r="E51" s="185" t="s">
        <v>27</v>
      </c>
      <c r="F51" s="159"/>
      <c r="G51" s="159"/>
      <c r="H51" s="159"/>
      <c r="J51" s="37"/>
      <c r="L51" s="95"/>
      <c r="M51" s="42"/>
      <c r="N51" s="28"/>
      <c r="O51" s="27"/>
    </row>
    <row r="52" spans="1:15" ht="17" x14ac:dyDescent="0.2">
      <c r="A52" s="27"/>
      <c r="B52" s="170">
        <v>8</v>
      </c>
      <c r="C52" s="432"/>
      <c r="D52" s="186" t="s">
        <v>256</v>
      </c>
      <c r="E52" s="185" t="s">
        <v>27</v>
      </c>
      <c r="F52" s="159"/>
      <c r="G52" s="159"/>
      <c r="H52" s="159"/>
      <c r="J52" s="37"/>
      <c r="L52" s="95"/>
      <c r="M52" s="42"/>
      <c r="N52" s="28"/>
      <c r="O52" s="27"/>
    </row>
    <row r="53" spans="1:15" ht="34" x14ac:dyDescent="0.2">
      <c r="A53" s="27"/>
      <c r="B53" s="170">
        <v>9</v>
      </c>
      <c r="C53" s="432"/>
      <c r="D53" s="186" t="s">
        <v>141</v>
      </c>
      <c r="E53" s="185" t="s">
        <v>27</v>
      </c>
      <c r="F53" s="159"/>
      <c r="G53" s="159"/>
      <c r="H53" s="159"/>
      <c r="J53" s="37"/>
      <c r="L53" s="95"/>
      <c r="M53" s="42"/>
      <c r="N53" s="28"/>
      <c r="O53" s="27"/>
    </row>
    <row r="54" spans="1:15" ht="17" x14ac:dyDescent="0.2">
      <c r="A54" s="27"/>
      <c r="B54" s="170">
        <v>10</v>
      </c>
      <c r="C54" s="432"/>
      <c r="D54" s="187" t="s">
        <v>257</v>
      </c>
      <c r="E54" s="185" t="s">
        <v>27</v>
      </c>
      <c r="F54" s="179">
        <f>SUM(F51:F53)</f>
        <v>0</v>
      </c>
      <c r="G54" s="179">
        <f>SUM(G51:G53)</f>
        <v>0</v>
      </c>
      <c r="H54" s="179">
        <f>SUM(H51:H53)</f>
        <v>0</v>
      </c>
      <c r="J54" s="37"/>
      <c r="L54" s="95"/>
      <c r="M54" s="42"/>
      <c r="N54" s="28"/>
      <c r="O54" s="27"/>
    </row>
    <row r="55" spans="1:15" ht="17" x14ac:dyDescent="0.2">
      <c r="A55" s="27"/>
      <c r="B55" s="170">
        <v>11</v>
      </c>
      <c r="C55" s="432"/>
      <c r="D55" s="186" t="s">
        <v>309</v>
      </c>
      <c r="E55" s="185" t="s">
        <v>27</v>
      </c>
      <c r="F55" s="159"/>
      <c r="G55" s="159"/>
      <c r="H55" s="159"/>
      <c r="J55" s="37"/>
      <c r="L55" s="95"/>
      <c r="M55" s="42"/>
      <c r="N55" s="28"/>
      <c r="O55" s="27"/>
    </row>
    <row r="56" spans="1:15" ht="17" x14ac:dyDescent="0.2">
      <c r="A56" s="27"/>
      <c r="B56" s="170">
        <v>12</v>
      </c>
      <c r="C56" s="432"/>
      <c r="D56" s="186" t="s">
        <v>310</v>
      </c>
      <c r="E56" s="185" t="s">
        <v>27</v>
      </c>
      <c r="F56" s="159"/>
      <c r="G56" s="159"/>
      <c r="H56" s="159"/>
      <c r="J56" s="37"/>
      <c r="L56" s="95"/>
      <c r="M56" s="42"/>
      <c r="N56" s="28"/>
      <c r="O56" s="27"/>
    </row>
    <row r="57" spans="1:15" ht="17" x14ac:dyDescent="0.2">
      <c r="A57" s="27"/>
      <c r="B57" s="170">
        <v>13</v>
      </c>
      <c r="C57" s="432"/>
      <c r="D57" s="186" t="s">
        <v>311</v>
      </c>
      <c r="E57" s="185" t="s">
        <v>27</v>
      </c>
      <c r="F57" s="159"/>
      <c r="G57" s="159"/>
      <c r="H57" s="159"/>
      <c r="J57" s="37"/>
      <c r="L57" s="95"/>
      <c r="M57" s="42"/>
      <c r="N57" s="28"/>
      <c r="O57" s="27"/>
    </row>
    <row r="58" spans="1:15" ht="17" x14ac:dyDescent="0.2">
      <c r="A58" s="27"/>
      <c r="B58" s="170">
        <v>14</v>
      </c>
      <c r="C58" s="432"/>
      <c r="D58" s="186" t="s">
        <v>312</v>
      </c>
      <c r="E58" s="185" t="s">
        <v>27</v>
      </c>
      <c r="F58" s="159"/>
      <c r="G58" s="159"/>
      <c r="H58" s="159"/>
      <c r="J58" s="37"/>
      <c r="L58" s="95"/>
      <c r="M58" s="42"/>
      <c r="N58" s="28"/>
      <c r="O58" s="27"/>
    </row>
    <row r="59" spans="1:15" ht="17" x14ac:dyDescent="0.2">
      <c r="A59" s="27"/>
      <c r="B59" s="170">
        <v>15</v>
      </c>
      <c r="C59" s="432"/>
      <c r="D59" s="186" t="s">
        <v>313</v>
      </c>
      <c r="E59" s="185" t="s">
        <v>27</v>
      </c>
      <c r="F59" s="159"/>
      <c r="G59" s="159"/>
      <c r="H59" s="159"/>
      <c r="J59" s="37"/>
      <c r="L59" s="95"/>
      <c r="M59" s="42"/>
      <c r="N59" s="28"/>
      <c r="O59" s="27"/>
    </row>
    <row r="60" spans="1:15" ht="17" x14ac:dyDescent="0.2">
      <c r="A60" s="27"/>
      <c r="B60" s="170">
        <v>16</v>
      </c>
      <c r="C60" s="432"/>
      <c r="D60" s="186" t="s">
        <v>315</v>
      </c>
      <c r="E60" s="185" t="s">
        <v>27</v>
      </c>
      <c r="F60" s="159"/>
      <c r="G60" s="159"/>
      <c r="H60" s="159"/>
      <c r="J60" s="37"/>
      <c r="L60" s="95"/>
      <c r="M60" s="42"/>
      <c r="N60" s="28"/>
      <c r="O60" s="27"/>
    </row>
    <row r="61" spans="1:15" ht="17" x14ac:dyDescent="0.2">
      <c r="A61" s="27"/>
      <c r="B61" s="170">
        <v>17</v>
      </c>
      <c r="C61" s="432"/>
      <c r="D61" s="186" t="s">
        <v>314</v>
      </c>
      <c r="E61" s="185" t="s">
        <v>27</v>
      </c>
      <c r="F61" s="159"/>
      <c r="G61" s="159"/>
      <c r="H61" s="159"/>
      <c r="J61" s="37"/>
      <c r="L61" s="95"/>
      <c r="M61" s="42"/>
      <c r="N61" s="28"/>
      <c r="O61" s="27"/>
    </row>
    <row r="62" spans="1:15" ht="17" x14ac:dyDescent="0.2">
      <c r="A62" s="27"/>
      <c r="B62" s="170">
        <v>18</v>
      </c>
      <c r="C62" s="432"/>
      <c r="D62" s="187" t="s">
        <v>258</v>
      </c>
      <c r="E62" s="185" t="s">
        <v>27</v>
      </c>
      <c r="F62" s="179">
        <f>SUM(F55:F61)</f>
        <v>0</v>
      </c>
      <c r="G62" s="179">
        <f>SUM(G55:G61)</f>
        <v>0</v>
      </c>
      <c r="H62" s="179">
        <f>SUM(H55:H61)</f>
        <v>0</v>
      </c>
      <c r="J62" s="37"/>
      <c r="L62" s="95"/>
      <c r="M62" s="42"/>
      <c r="N62" s="28"/>
      <c r="O62" s="27"/>
    </row>
    <row r="63" spans="1:15" ht="17" x14ac:dyDescent="0.2">
      <c r="A63" s="27"/>
      <c r="B63" s="170">
        <v>19</v>
      </c>
      <c r="C63" s="432"/>
      <c r="D63" s="187" t="s">
        <v>259</v>
      </c>
      <c r="E63" s="185" t="s">
        <v>27</v>
      </c>
      <c r="F63" s="180"/>
      <c r="G63" s="180"/>
      <c r="H63" s="180"/>
      <c r="J63" s="37"/>
      <c r="L63" s="95"/>
      <c r="M63" s="42"/>
      <c r="N63" s="28"/>
      <c r="O63" s="27"/>
    </row>
    <row r="64" spans="1:15" ht="19" x14ac:dyDescent="0.2">
      <c r="A64" s="27"/>
      <c r="B64" s="170">
        <v>20</v>
      </c>
      <c r="C64" s="432" t="s">
        <v>114</v>
      </c>
      <c r="D64" s="184" t="s">
        <v>63</v>
      </c>
      <c r="E64" s="185" t="s">
        <v>260</v>
      </c>
      <c r="F64" s="178"/>
      <c r="G64" s="178"/>
      <c r="H64" s="178"/>
      <c r="J64" s="37"/>
      <c r="L64" s="95"/>
      <c r="M64" s="42"/>
      <c r="N64" s="28"/>
      <c r="O64" s="27"/>
    </row>
    <row r="65" spans="1:20" ht="19" x14ac:dyDescent="0.2">
      <c r="A65" s="27"/>
      <c r="B65" s="170">
        <v>21</v>
      </c>
      <c r="C65" s="432"/>
      <c r="D65" s="184" t="s">
        <v>54</v>
      </c>
      <c r="E65" s="185" t="s">
        <v>260</v>
      </c>
      <c r="F65" s="178"/>
      <c r="G65" s="178"/>
      <c r="H65" s="178"/>
      <c r="J65" s="37"/>
      <c r="L65" s="95"/>
      <c r="M65" s="42"/>
      <c r="N65" s="28"/>
      <c r="O65" s="27"/>
    </row>
    <row r="66" spans="1:20" ht="19" x14ac:dyDescent="0.2">
      <c r="A66" s="27"/>
      <c r="B66" s="170">
        <v>22</v>
      </c>
      <c r="C66" s="432"/>
      <c r="D66" s="184" t="s">
        <v>55</v>
      </c>
      <c r="E66" s="185" t="s">
        <v>260</v>
      </c>
      <c r="F66" s="178"/>
      <c r="G66" s="178"/>
      <c r="H66" s="178"/>
      <c r="J66" s="37"/>
      <c r="L66" s="95"/>
      <c r="M66" s="42"/>
      <c r="N66" s="28"/>
      <c r="O66" s="27"/>
    </row>
    <row r="67" spans="1:20" ht="19" x14ac:dyDescent="0.2">
      <c r="A67" s="27"/>
      <c r="B67" s="170">
        <v>23</v>
      </c>
      <c r="C67" s="432"/>
      <c r="D67" s="184" t="s">
        <v>261</v>
      </c>
      <c r="E67" s="185" t="s">
        <v>260</v>
      </c>
      <c r="F67" s="178"/>
      <c r="G67" s="178"/>
      <c r="H67" s="178"/>
      <c r="J67" s="37"/>
      <c r="L67" s="95"/>
      <c r="M67" s="42"/>
      <c r="N67" s="28"/>
      <c r="O67" s="27"/>
    </row>
    <row r="68" spans="1:20" ht="16" x14ac:dyDescent="0.2">
      <c r="A68" s="27"/>
      <c r="B68" s="170">
        <v>24</v>
      </c>
      <c r="C68" s="432" t="s">
        <v>107</v>
      </c>
      <c r="D68" s="184" t="s">
        <v>262</v>
      </c>
      <c r="E68" s="185" t="s">
        <v>14</v>
      </c>
      <c r="F68" s="178"/>
      <c r="G68" s="178"/>
      <c r="H68" s="178"/>
      <c r="J68" s="37"/>
      <c r="L68" s="95"/>
      <c r="M68" s="42"/>
      <c r="N68" s="28"/>
      <c r="O68" s="27"/>
    </row>
    <row r="69" spans="1:20" ht="16" x14ac:dyDescent="0.2">
      <c r="A69" s="27"/>
      <c r="B69" s="170">
        <v>25</v>
      </c>
      <c r="C69" s="432"/>
      <c r="D69" s="184" t="s">
        <v>263</v>
      </c>
      <c r="E69" s="185" t="s">
        <v>14</v>
      </c>
      <c r="F69" s="178"/>
      <c r="G69" s="178"/>
      <c r="H69" s="178"/>
      <c r="J69" s="37"/>
      <c r="L69" s="95"/>
      <c r="M69" s="42"/>
      <c r="N69" s="28"/>
      <c r="O69" s="27"/>
    </row>
    <row r="70" spans="1:20" ht="16" x14ac:dyDescent="0.2">
      <c r="A70" s="27"/>
      <c r="B70" s="170">
        <v>26</v>
      </c>
      <c r="C70" s="432"/>
      <c r="D70" s="184" t="s">
        <v>264</v>
      </c>
      <c r="E70" s="185" t="s">
        <v>14</v>
      </c>
      <c r="F70" s="178"/>
      <c r="G70" s="178"/>
      <c r="H70" s="178"/>
      <c r="J70" s="37"/>
      <c r="L70" s="95"/>
      <c r="M70" s="42"/>
      <c r="N70" s="28"/>
      <c r="O70" s="27"/>
    </row>
    <row r="71" spans="1:20" ht="16" x14ac:dyDescent="0.2">
      <c r="A71" s="27"/>
      <c r="B71" s="170">
        <v>27</v>
      </c>
      <c r="C71" s="432"/>
      <c r="D71" s="184" t="s">
        <v>265</v>
      </c>
      <c r="E71" s="185" t="s">
        <v>14</v>
      </c>
      <c r="F71" s="178"/>
      <c r="G71" s="178"/>
      <c r="H71" s="178"/>
      <c r="J71" s="37"/>
      <c r="L71" s="95"/>
      <c r="M71" s="42"/>
      <c r="N71" s="28"/>
      <c r="O71" s="27"/>
    </row>
    <row r="72" spans="1:20" ht="16" x14ac:dyDescent="0.2">
      <c r="A72" s="27"/>
      <c r="B72" s="170">
        <v>28</v>
      </c>
      <c r="C72" s="432"/>
      <c r="D72" s="184" t="s">
        <v>266</v>
      </c>
      <c r="E72" s="185" t="s">
        <v>14</v>
      </c>
      <c r="F72" s="178"/>
      <c r="G72" s="178"/>
      <c r="H72" s="178"/>
      <c r="J72" s="37"/>
      <c r="L72" s="95"/>
      <c r="M72" s="42"/>
      <c r="N72" s="28"/>
      <c r="O72" s="27"/>
    </row>
    <row r="73" spans="1:20" x14ac:dyDescent="0.2">
      <c r="A73" s="27"/>
      <c r="B73" s="27"/>
      <c r="D73" s="27"/>
      <c r="G73" s="27"/>
      <c r="H73" s="27"/>
      <c r="I73" s="29"/>
      <c r="K73" s="37"/>
      <c r="M73" s="95"/>
      <c r="N73" s="42"/>
      <c r="O73" s="28"/>
      <c r="P73" s="27"/>
    </row>
    <row r="74" spans="1:20" x14ac:dyDescent="0.2">
      <c r="A74" s="27"/>
      <c r="B74" s="27"/>
      <c r="D74" s="27"/>
      <c r="G74" s="27"/>
      <c r="H74" s="27"/>
      <c r="I74" s="29"/>
      <c r="K74" s="37"/>
      <c r="M74" s="95"/>
      <c r="N74" s="42"/>
      <c r="O74" s="28"/>
      <c r="P74" s="27"/>
    </row>
    <row r="75" spans="1:20" x14ac:dyDescent="0.2">
      <c r="A75" s="27"/>
      <c r="B75" s="27"/>
      <c r="D75" s="27"/>
      <c r="G75" s="27"/>
      <c r="H75" s="27"/>
      <c r="I75" s="29"/>
      <c r="K75" s="37"/>
      <c r="M75" s="95"/>
      <c r="N75" s="42"/>
      <c r="O75" s="28"/>
      <c r="P75" s="27"/>
    </row>
    <row r="76" spans="1:20" x14ac:dyDescent="0.2">
      <c r="A76" s="27"/>
      <c r="B76" s="27"/>
      <c r="D76" s="27"/>
      <c r="E76" s="27"/>
      <c r="F76" s="29"/>
      <c r="G76" s="29"/>
      <c r="H76" s="29"/>
      <c r="I76" s="30"/>
      <c r="J76" s="27"/>
      <c r="K76" s="27"/>
      <c r="L76" s="27"/>
      <c r="M76" s="27"/>
      <c r="N76" s="27"/>
      <c r="O76" s="27"/>
      <c r="P76" s="27"/>
    </row>
    <row r="77" spans="1:20" x14ac:dyDescent="0.2">
      <c r="A77" s="27"/>
      <c r="B77" s="38" t="s">
        <v>307</v>
      </c>
      <c r="C77" s="27"/>
      <c r="D77" s="27"/>
      <c r="E77" s="29"/>
      <c r="F77" s="29"/>
      <c r="G77" s="29"/>
      <c r="H77" s="30"/>
      <c r="I77" s="27"/>
      <c r="J77" s="27"/>
      <c r="K77" s="27"/>
      <c r="L77" s="27"/>
      <c r="M77" s="27"/>
      <c r="N77" s="27"/>
      <c r="O77" s="27"/>
    </row>
    <row r="78" spans="1:20" ht="30" x14ac:dyDescent="0.2">
      <c r="A78" s="27"/>
      <c r="B78" s="433" t="s">
        <v>96</v>
      </c>
      <c r="C78" s="433"/>
      <c r="D78" s="265" t="s">
        <v>5</v>
      </c>
      <c r="E78" s="265" t="s">
        <v>286</v>
      </c>
      <c r="H78" s="94"/>
      <c r="I78" s="27"/>
      <c r="K78" s="27"/>
      <c r="L78" s="42"/>
      <c r="M78" s="28"/>
      <c r="O78" s="42"/>
      <c r="P78" s="28"/>
      <c r="Q78" s="42"/>
      <c r="R78" s="28"/>
      <c r="S78" s="42"/>
      <c r="T78" s="42"/>
    </row>
    <row r="79" spans="1:20" x14ac:dyDescent="0.2">
      <c r="A79" s="27"/>
      <c r="B79" s="433"/>
      <c r="C79" s="433"/>
      <c r="D79" s="266" t="s">
        <v>62</v>
      </c>
      <c r="E79" s="266" t="s">
        <v>287</v>
      </c>
      <c r="J79" s="27"/>
      <c r="K79" s="27"/>
      <c r="L79" s="27"/>
      <c r="M79" s="27"/>
      <c r="N79" s="27"/>
      <c r="O79" s="27"/>
    </row>
    <row r="80" spans="1:20" x14ac:dyDescent="0.2">
      <c r="A80" s="27"/>
      <c r="B80" s="267" t="s">
        <v>64</v>
      </c>
      <c r="C80" s="268"/>
      <c r="D80" s="269">
        <v>9.8000000000000007</v>
      </c>
      <c r="E80" s="269">
        <v>0.504</v>
      </c>
      <c r="J80" s="27"/>
      <c r="K80" s="27"/>
      <c r="L80" s="27"/>
      <c r="M80" s="27"/>
      <c r="N80" s="27"/>
      <c r="O80" s="27"/>
    </row>
    <row r="81" spans="1:30" x14ac:dyDescent="0.2">
      <c r="A81" s="27"/>
      <c r="B81" s="267" t="s">
        <v>66</v>
      </c>
      <c r="C81" s="268"/>
      <c r="D81" s="269" t="str">
        <f>IF(C15&lt;&gt;0,INDEX(RefTab!$E$5:$E$55,MATCH('Plant-Level Reporting (3)'!C15,RefTab!$B$5:$B$55,0)),"")</f>
        <v/>
      </c>
      <c r="E81" s="269" t="str">
        <f>IF(C15&lt;&gt;0,INDEX(RefTab!$F$5:$F$55,MATCH('Plant-Level Reporting (3)'!C15,RefTab!$B$5:$B$55,0)),"")</f>
        <v/>
      </c>
      <c r="G81" s="46" t="s">
        <v>140</v>
      </c>
      <c r="H81" s="31"/>
      <c r="I81" s="32"/>
      <c r="J81" s="27"/>
      <c r="K81" s="27"/>
      <c r="L81" s="27"/>
      <c r="M81" s="27"/>
      <c r="N81" s="27"/>
    </row>
    <row r="82" spans="1:30" ht="15" customHeight="1" x14ac:dyDescent="0.2">
      <c r="A82" s="27"/>
      <c r="B82" s="267" t="s">
        <v>59</v>
      </c>
      <c r="C82" s="268"/>
      <c r="D82" s="270">
        <v>9.8000000000000007</v>
      </c>
      <c r="E82" s="289">
        <v>0.72699999999999998</v>
      </c>
      <c r="F82" s="53" t="s">
        <v>117</v>
      </c>
      <c r="G82" s="422"/>
      <c r="H82" s="422"/>
      <c r="I82" s="422"/>
      <c r="J82" s="422"/>
      <c r="K82" s="422"/>
      <c r="L82" s="422"/>
      <c r="M82" s="422"/>
      <c r="N82" s="27"/>
    </row>
    <row r="83" spans="1:30" x14ac:dyDescent="0.2">
      <c r="A83" s="27"/>
      <c r="B83" s="267" t="s">
        <v>60</v>
      </c>
      <c r="C83" s="268"/>
      <c r="D83" s="270">
        <v>9.8000000000000007</v>
      </c>
      <c r="E83" s="270">
        <v>0.79800000000000004</v>
      </c>
      <c r="F83" s="53" t="s">
        <v>116</v>
      </c>
      <c r="G83" s="422"/>
      <c r="H83" s="422"/>
      <c r="I83" s="422"/>
      <c r="J83" s="422"/>
      <c r="K83" s="422"/>
      <c r="L83" s="422"/>
      <c r="M83" s="422"/>
      <c r="N83" s="27"/>
    </row>
    <row r="84" spans="1:30" ht="46" customHeight="1" x14ac:dyDescent="0.2">
      <c r="A84" s="27"/>
      <c r="B84" s="27"/>
      <c r="C84" s="27"/>
      <c r="D84" s="27"/>
      <c r="E84" s="27"/>
      <c r="F84" s="27"/>
      <c r="G84" s="27"/>
      <c r="H84" s="27"/>
      <c r="I84" s="27"/>
      <c r="J84" s="27"/>
      <c r="K84" s="27"/>
      <c r="L84" s="27"/>
      <c r="M84" s="27"/>
      <c r="N84" s="27"/>
      <c r="O84" s="27"/>
      <c r="P84" s="27"/>
    </row>
    <row r="85" spans="1:30" x14ac:dyDescent="0.2">
      <c r="A85" s="27"/>
      <c r="B85" s="212" t="s">
        <v>305</v>
      </c>
      <c r="C85" s="38"/>
      <c r="D85" s="27"/>
      <c r="E85" s="27"/>
      <c r="F85" s="27"/>
      <c r="G85" s="27"/>
      <c r="H85" s="27"/>
      <c r="I85" s="27"/>
      <c r="J85" s="27"/>
      <c r="K85" s="27"/>
      <c r="L85" s="27"/>
      <c r="M85" s="27"/>
      <c r="N85" s="27"/>
      <c r="O85" s="27"/>
      <c r="P85" s="27"/>
      <c r="Q85" s="27"/>
    </row>
    <row r="86" spans="1:30" x14ac:dyDescent="0.2">
      <c r="A86" s="27"/>
      <c r="B86" s="412" t="s">
        <v>212</v>
      </c>
      <c r="C86" s="412" t="s">
        <v>92</v>
      </c>
      <c r="D86" s="421" t="s">
        <v>93</v>
      </c>
      <c r="E86" s="193"/>
      <c r="F86" s="420" t="s">
        <v>129</v>
      </c>
      <c r="G86" s="420"/>
      <c r="H86" s="423" t="s">
        <v>111</v>
      </c>
      <c r="I86" s="424"/>
      <c r="J86" s="424"/>
      <c r="K86" s="424"/>
      <c r="L86" s="424"/>
      <c r="M86" s="424"/>
      <c r="N86" s="425"/>
      <c r="O86" s="420" t="s">
        <v>118</v>
      </c>
      <c r="P86" s="420"/>
      <c r="Q86" s="420"/>
      <c r="R86" s="420"/>
      <c r="S86" s="434" t="s">
        <v>101</v>
      </c>
      <c r="T86" s="435"/>
      <c r="U86" s="436"/>
      <c r="V86" s="420" t="s">
        <v>128</v>
      </c>
      <c r="W86" s="420"/>
      <c r="X86" s="420"/>
      <c r="Y86" s="420"/>
      <c r="Z86" s="420"/>
      <c r="AA86" s="420"/>
      <c r="AB86" s="420"/>
      <c r="AC86" s="420"/>
      <c r="AD86" s="429" t="s">
        <v>301</v>
      </c>
    </row>
    <row r="87" spans="1:30" s="206" customFormat="1" ht="60" customHeight="1" x14ac:dyDescent="0.2">
      <c r="A87" s="203"/>
      <c r="B87" s="412"/>
      <c r="C87" s="412"/>
      <c r="D87" s="421"/>
      <c r="E87" s="204" t="s">
        <v>272</v>
      </c>
      <c r="F87" s="204" t="s">
        <v>284</v>
      </c>
      <c r="G87" s="204" t="s">
        <v>285</v>
      </c>
      <c r="H87" s="204" t="s">
        <v>108</v>
      </c>
      <c r="I87" s="204" t="s">
        <v>109</v>
      </c>
      <c r="J87" s="205" t="s">
        <v>4</v>
      </c>
      <c r="K87" s="205" t="s">
        <v>280</v>
      </c>
      <c r="L87" s="426" t="s">
        <v>101</v>
      </c>
      <c r="M87" s="427"/>
      <c r="N87" s="428"/>
      <c r="O87" s="204" t="s">
        <v>108</v>
      </c>
      <c r="P87" s="204" t="s">
        <v>109</v>
      </c>
      <c r="Q87" s="205" t="s">
        <v>4</v>
      </c>
      <c r="R87" s="205" t="s">
        <v>280</v>
      </c>
      <c r="S87" s="437"/>
      <c r="T87" s="438"/>
      <c r="U87" s="439"/>
      <c r="V87" s="204" t="s">
        <v>7</v>
      </c>
      <c r="W87" s="204" t="s">
        <v>8</v>
      </c>
      <c r="X87" s="220" t="s">
        <v>7</v>
      </c>
      <c r="Y87" s="220" t="s">
        <v>135</v>
      </c>
      <c r="Z87" s="220" t="s">
        <v>7</v>
      </c>
      <c r="AA87" s="220" t="s">
        <v>135</v>
      </c>
      <c r="AB87" s="204" t="s">
        <v>9</v>
      </c>
      <c r="AC87" s="204" t="s">
        <v>10</v>
      </c>
      <c r="AD87" s="430"/>
    </row>
    <row r="88" spans="1:30" ht="15" x14ac:dyDescent="0.2">
      <c r="A88" s="189"/>
      <c r="B88" s="412"/>
      <c r="C88" s="412"/>
      <c r="D88" s="421"/>
      <c r="E88" s="201"/>
      <c r="F88" s="202"/>
      <c r="G88" s="202"/>
      <c r="H88" s="194" t="s">
        <v>12</v>
      </c>
      <c r="I88" s="194" t="s">
        <v>12</v>
      </c>
      <c r="J88" s="194" t="s">
        <v>11</v>
      </c>
      <c r="K88" s="194" t="s">
        <v>281</v>
      </c>
      <c r="L88" s="194" t="s">
        <v>282</v>
      </c>
      <c r="M88" s="194" t="s">
        <v>283</v>
      </c>
      <c r="N88" s="194" t="s">
        <v>281</v>
      </c>
      <c r="O88" s="194" t="s">
        <v>12</v>
      </c>
      <c r="P88" s="194" t="s">
        <v>12</v>
      </c>
      <c r="Q88" s="194" t="s">
        <v>113</v>
      </c>
      <c r="R88" s="194" t="s">
        <v>279</v>
      </c>
      <c r="S88" s="219" t="s">
        <v>282</v>
      </c>
      <c r="T88" s="219" t="s">
        <v>283</v>
      </c>
      <c r="U88" s="194" t="s">
        <v>279</v>
      </c>
      <c r="V88" s="194" t="s">
        <v>276</v>
      </c>
      <c r="W88" s="194" t="s">
        <v>276</v>
      </c>
      <c r="X88" s="219" t="s">
        <v>277</v>
      </c>
      <c r="Y88" s="219" t="s">
        <v>277</v>
      </c>
      <c r="Z88" s="219" t="s">
        <v>278</v>
      </c>
      <c r="AA88" s="219" t="s">
        <v>278</v>
      </c>
      <c r="AB88" s="194" t="s">
        <v>276</v>
      </c>
      <c r="AC88" s="194" t="s">
        <v>276</v>
      </c>
      <c r="AD88" s="430"/>
    </row>
    <row r="89" spans="1:30" ht="15" x14ac:dyDescent="0.2">
      <c r="A89" s="33"/>
      <c r="B89" s="248" t="s">
        <v>193</v>
      </c>
      <c r="C89" s="207" t="s">
        <v>13</v>
      </c>
      <c r="D89" s="208" t="s">
        <v>14</v>
      </c>
      <c r="E89" s="199"/>
      <c r="F89" s="199"/>
      <c r="G89" s="200"/>
      <c r="H89" s="197"/>
      <c r="I89" s="113"/>
      <c r="J89" s="115">
        <v>0.01</v>
      </c>
      <c r="K89" s="117">
        <f>ROUND(IF(J89&gt;0,44.01*J89/12.011,44.01*0.01/12.011),3)</f>
        <v>3.6999999999999998E-2</v>
      </c>
      <c r="L89" s="120" t="s">
        <v>95</v>
      </c>
      <c r="M89" s="120" t="s">
        <v>95</v>
      </c>
      <c r="N89" s="122"/>
      <c r="O89" s="130"/>
      <c r="P89" s="130"/>
      <c r="Q89" s="130"/>
      <c r="R89" s="198" t="str">
        <f>IF(Q89&gt;0,ROUND(44.01*Q89/12.011,6),"na")</f>
        <v>na</v>
      </c>
      <c r="S89" s="195"/>
      <c r="T89" s="195" t="s">
        <v>95</v>
      </c>
      <c r="U89" s="196"/>
      <c r="V89" s="190">
        <f t="shared" ref="V89:V117" si="0">ROUND(IF($R89&lt;&gt;"na",$R89,$K89)*($F89-$G89),6)</f>
        <v>0</v>
      </c>
      <c r="W89" s="191"/>
      <c r="X89" s="271">
        <f>IFERROR(ROUND(IF($S89&lt;&gt;"",$S89,$L89)*($E89+$F89-$G89),6),0)</f>
        <v>0</v>
      </c>
      <c r="Y89" s="272"/>
      <c r="Z89" s="271">
        <f>IFERROR(ROUND(IF($T89&lt;&gt;"",$T89,$M89)*($E89+$F89-$G89),6),0)</f>
        <v>0</v>
      </c>
      <c r="AA89" s="272"/>
      <c r="AB89" s="191"/>
      <c r="AC89" s="192">
        <f t="shared" ref="AC89:AC143" si="1">ROUND(IF($U89&lt;&gt;"",$U89,$N89)*($F89-$G89),6)</f>
        <v>0</v>
      </c>
      <c r="AD89" s="249"/>
    </row>
    <row r="90" spans="1:30" ht="15" x14ac:dyDescent="0.2">
      <c r="A90" s="33"/>
      <c r="B90" s="250" t="s">
        <v>210</v>
      </c>
      <c r="C90" s="210" t="s">
        <v>15</v>
      </c>
      <c r="D90" s="211" t="s">
        <v>14</v>
      </c>
      <c r="E90" s="199"/>
      <c r="F90" s="154"/>
      <c r="G90" s="155"/>
      <c r="H90" s="51">
        <v>32.200000000000003</v>
      </c>
      <c r="I90" s="50"/>
      <c r="J90" s="50">
        <f>ROUND(3.059*12.011/44.01,3)</f>
        <v>0.83499999999999996</v>
      </c>
      <c r="K90" s="48">
        <f>ROUND(IF(J90&gt;0,44.01*J90/12.011,IF(H90&gt;0, H90, 32.2)*0.095),3)</f>
        <v>3.06</v>
      </c>
      <c r="L90" s="87">
        <v>2.8199999999999997E-4</v>
      </c>
      <c r="M90" s="87">
        <v>4.2000000000000004E-5</v>
      </c>
      <c r="N90" s="86">
        <v>0.37</v>
      </c>
      <c r="O90" s="130"/>
      <c r="P90" s="130"/>
      <c r="Q90" s="130"/>
      <c r="R90" s="56" t="str">
        <f>IF(Q90&gt;0,ROUND(44.01*Q90/12.011,6),IF(SUM(O90,P90)&gt;0, ROUND(SUM(O90,P90)*0.095,6),"na"))</f>
        <v>na</v>
      </c>
      <c r="S90" s="273"/>
      <c r="T90" s="273"/>
      <c r="U90" s="47"/>
      <c r="V90" s="43">
        <f t="shared" si="0"/>
        <v>0</v>
      </c>
      <c r="W90" s="43"/>
      <c r="X90" s="273">
        <f t="shared" ref="X90:X157" si="2">IFERROR(ROUND(IF($S90&lt;&gt;"",$S90,$L90)*($E90+$F90-$G90),6),0)</f>
        <v>0</v>
      </c>
      <c r="Y90" s="273"/>
      <c r="Z90" s="273">
        <f t="shared" ref="Z90:Z157" si="3">IFERROR(ROUND(IF($T90&lt;&gt;"",$T90,$M90)*($E90+$F90-$G90),6),0)</f>
        <v>0</v>
      </c>
      <c r="AA90" s="273"/>
      <c r="AB90" s="43"/>
      <c r="AC90" s="90">
        <f t="shared" si="1"/>
        <v>0</v>
      </c>
      <c r="AD90" s="249"/>
    </row>
    <row r="91" spans="1:30" ht="15" x14ac:dyDescent="0.2">
      <c r="A91" s="33"/>
      <c r="B91" s="250" t="s">
        <v>210</v>
      </c>
      <c r="C91" s="210" t="s">
        <v>16</v>
      </c>
      <c r="D91" s="211" t="s">
        <v>14</v>
      </c>
      <c r="E91" s="199"/>
      <c r="F91" s="154"/>
      <c r="G91" s="155"/>
      <c r="H91" s="51">
        <v>31.1</v>
      </c>
      <c r="I91" s="50"/>
      <c r="J91" s="50">
        <f>ROUND(2.955*12.011/44.01,3)</f>
        <v>0.80600000000000005</v>
      </c>
      <c r="K91" s="48">
        <f>ROUND(IF(J91&gt;0,44.01*J91/12.011,IF(H91&gt;0, H91,31.1)*0.095),3)</f>
        <v>2.9529999999999998</v>
      </c>
      <c r="L91" s="87">
        <v>2.8199999999999997E-4</v>
      </c>
      <c r="M91" s="87">
        <v>3.8999999999999999E-5</v>
      </c>
      <c r="N91" s="86">
        <v>0.37</v>
      </c>
      <c r="O91" s="130"/>
      <c r="P91" s="130"/>
      <c r="Q91" s="130"/>
      <c r="R91" s="56" t="str">
        <f>IF(Q91&gt;0,ROUND(44.01*Q91/12.011,6),IF(SUM(O91,P91)&gt;0, ROUND(SUM(O91,P91)*0.095,6),"na"))</f>
        <v>na</v>
      </c>
      <c r="S91" s="273"/>
      <c r="T91" s="273"/>
      <c r="U91" s="47"/>
      <c r="V91" s="43">
        <f t="shared" si="0"/>
        <v>0</v>
      </c>
      <c r="W91" s="43"/>
      <c r="X91" s="273">
        <f t="shared" si="2"/>
        <v>0</v>
      </c>
      <c r="Y91" s="273"/>
      <c r="Z91" s="273">
        <f t="shared" si="3"/>
        <v>0</v>
      </c>
      <c r="AA91" s="273"/>
      <c r="AB91" s="43"/>
      <c r="AC91" s="90">
        <f t="shared" si="1"/>
        <v>0</v>
      </c>
      <c r="AD91" s="249"/>
    </row>
    <row r="92" spans="1:30" ht="15" x14ac:dyDescent="0.2">
      <c r="A92" s="33"/>
      <c r="B92" s="250" t="s">
        <v>210</v>
      </c>
      <c r="C92" s="210" t="s">
        <v>17</v>
      </c>
      <c r="D92" s="211" t="s">
        <v>14</v>
      </c>
      <c r="E92" s="199"/>
      <c r="F92" s="154"/>
      <c r="G92" s="155"/>
      <c r="H92" s="51">
        <v>29.3</v>
      </c>
      <c r="I92" s="50"/>
      <c r="J92" s="50">
        <f>ROUND(2.784*12.011/44.01,3)</f>
        <v>0.76</v>
      </c>
      <c r="K92" s="48">
        <f>ROUND(IF(J92&gt;0,44.01*J92/12.011,IF(H92&gt;0, H92,29.3)*0.095),3)</f>
        <v>2.7850000000000001</v>
      </c>
      <c r="L92" s="87">
        <v>2.5799999999999998E-4</v>
      </c>
      <c r="M92" s="87">
        <v>3.8999999999999999E-5</v>
      </c>
      <c r="N92" s="86">
        <v>0.37</v>
      </c>
      <c r="O92" s="130"/>
      <c r="P92" s="130"/>
      <c r="Q92" s="130"/>
      <c r="R92" s="56" t="str">
        <f>IF(Q92&gt;0,ROUND(44.01*Q92/12.011,6),IF(SUM(O92,P92)&gt;0, ROUND(SUM(O92,P92)*0.095,6),"na"))</f>
        <v>na</v>
      </c>
      <c r="S92" s="273"/>
      <c r="T92" s="273"/>
      <c r="U92" s="47"/>
      <c r="V92" s="43">
        <f t="shared" si="0"/>
        <v>0</v>
      </c>
      <c r="W92" s="43"/>
      <c r="X92" s="273">
        <f>IFERROR(ROUND(IF($S92&lt;&gt;"",$S92,$L92)*($E92+$F92-$G92),6),0)</f>
        <v>0</v>
      </c>
      <c r="Y92" s="273"/>
      <c r="Z92" s="273">
        <f t="shared" si="3"/>
        <v>0</v>
      </c>
      <c r="AA92" s="273"/>
      <c r="AB92" s="43"/>
      <c r="AC92" s="90">
        <f t="shared" si="1"/>
        <v>0</v>
      </c>
      <c r="AD92" s="249"/>
    </row>
    <row r="93" spans="1:30" ht="15" x14ac:dyDescent="0.2">
      <c r="A93" s="33"/>
      <c r="B93" s="250" t="s">
        <v>210</v>
      </c>
      <c r="C93" s="210" t="s">
        <v>18</v>
      </c>
      <c r="D93" s="211" t="s">
        <v>14</v>
      </c>
      <c r="E93" s="199"/>
      <c r="F93" s="154"/>
      <c r="G93" s="155"/>
      <c r="H93" s="51">
        <v>25.9</v>
      </c>
      <c r="I93" s="50"/>
      <c r="J93" s="50">
        <f>ROUND(2.461*12.011/44.01,3)</f>
        <v>0.67200000000000004</v>
      </c>
      <c r="K93" s="48">
        <f>ROUND(IF(J93&gt;0,44.01*J93/12.011,IF(H93&gt;0, H93,25.9)*0.095),3)</f>
        <v>2.4620000000000002</v>
      </c>
      <c r="L93" s="87">
        <v>2.5799999999999998E-4</v>
      </c>
      <c r="M93" s="87">
        <v>3.8999999999999999E-5</v>
      </c>
      <c r="N93" s="86">
        <v>0.37</v>
      </c>
      <c r="O93" s="130"/>
      <c r="P93" s="130"/>
      <c r="Q93" s="130"/>
      <c r="R93" s="56" t="str">
        <f>IF(Q93&gt;0,ROUND(44.01*Q93/12.011,6),IF(SUM(O93,P93)&gt;0, ROUND(SUM(O93,P93)*0.095,6),"na"))</f>
        <v>na</v>
      </c>
      <c r="S93" s="273"/>
      <c r="T93" s="273"/>
      <c r="U93" s="47"/>
      <c r="V93" s="43">
        <f t="shared" si="0"/>
        <v>0</v>
      </c>
      <c r="W93" s="43"/>
      <c r="X93" s="273">
        <f t="shared" si="2"/>
        <v>0</v>
      </c>
      <c r="Y93" s="273"/>
      <c r="Z93" s="273">
        <f t="shared" si="3"/>
        <v>0</v>
      </c>
      <c r="AA93" s="273"/>
      <c r="AB93" s="43"/>
      <c r="AC93" s="90">
        <f t="shared" si="1"/>
        <v>0</v>
      </c>
      <c r="AD93" s="249"/>
    </row>
    <row r="94" spans="1:30" ht="15" x14ac:dyDescent="0.2">
      <c r="A94" s="33"/>
      <c r="B94" s="250" t="s">
        <v>210</v>
      </c>
      <c r="C94" s="210" t="s">
        <v>19</v>
      </c>
      <c r="D94" s="211" t="s">
        <v>14</v>
      </c>
      <c r="E94" s="199"/>
      <c r="F94" s="154"/>
      <c r="G94" s="155"/>
      <c r="H94" s="51">
        <v>30.1</v>
      </c>
      <c r="I94" s="50"/>
      <c r="J94" s="50">
        <f>ROUND(3.257*12.011/44.01,3)</f>
        <v>0.88900000000000001</v>
      </c>
      <c r="K94" s="48">
        <f>ROUND(IF(J94&gt;0,44.01*J94/12.011,IF(H94&gt;0, H94,30.1)*0.1082),3)</f>
        <v>3.2570000000000001</v>
      </c>
      <c r="L94" s="87">
        <v>2.5799999999999998E-4</v>
      </c>
      <c r="M94" s="87">
        <v>3.8999999999999999E-5</v>
      </c>
      <c r="N94" s="86">
        <v>0.37</v>
      </c>
      <c r="O94" s="130"/>
      <c r="P94" s="130"/>
      <c r="Q94" s="130"/>
      <c r="R94" s="56" t="str">
        <f>IF(Q94&gt;0,ROUND(44.01*Q94/12.011,6),IF(SUM(O94,P94)&gt;0, ROUND(SUM(O94,P94)*0.1082,6),"na"))</f>
        <v>na</v>
      </c>
      <c r="S94" s="273"/>
      <c r="T94" s="273"/>
      <c r="U94" s="47"/>
      <c r="V94" s="43">
        <f t="shared" si="0"/>
        <v>0</v>
      </c>
      <c r="W94" s="43"/>
      <c r="X94" s="273">
        <f t="shared" si="2"/>
        <v>0</v>
      </c>
      <c r="Y94" s="273"/>
      <c r="Z94" s="273">
        <f t="shared" si="3"/>
        <v>0</v>
      </c>
      <c r="AA94" s="273"/>
      <c r="AB94" s="43"/>
      <c r="AC94" s="90">
        <f t="shared" si="1"/>
        <v>0</v>
      </c>
      <c r="AD94" s="249"/>
    </row>
    <row r="95" spans="1:30" ht="15" x14ac:dyDescent="0.2">
      <c r="A95" s="33"/>
      <c r="B95" s="250" t="s">
        <v>210</v>
      </c>
      <c r="C95" s="210" t="s">
        <v>20</v>
      </c>
      <c r="D95" s="211" t="s">
        <v>14</v>
      </c>
      <c r="E95" s="199"/>
      <c r="F95" s="154"/>
      <c r="G95" s="155"/>
      <c r="H95" s="51">
        <v>31.1</v>
      </c>
      <c r="I95" s="50"/>
      <c r="J95" s="50">
        <f>ROUND(2.955*12.011/44.01,3)</f>
        <v>0.80600000000000005</v>
      </c>
      <c r="K95" s="48">
        <f>ROUND(IF(J95&gt;0,44.01*J95/12.011,IF(H95&gt;0, H95,31.1)*0.095),3)</f>
        <v>2.9529999999999998</v>
      </c>
      <c r="L95" s="87">
        <v>2.5799999999999998E-4</v>
      </c>
      <c r="M95" s="87">
        <v>3.8999999999999999E-5</v>
      </c>
      <c r="N95" s="86">
        <v>0.37</v>
      </c>
      <c r="O95" s="130"/>
      <c r="P95" s="130"/>
      <c r="Q95" s="130"/>
      <c r="R95" s="56" t="str">
        <f>IF(Q95&gt;0,ROUND(44.01*Q95/12.011,6),IF(SUM(O95,P95)&gt;0, ROUND(SUM(O95,P95)*0.095,6),"na"))</f>
        <v>na</v>
      </c>
      <c r="S95" s="273"/>
      <c r="T95" s="273"/>
      <c r="U95" s="47"/>
      <c r="V95" s="43">
        <f t="shared" si="0"/>
        <v>0</v>
      </c>
      <c r="W95" s="43"/>
      <c r="X95" s="273">
        <f t="shared" si="2"/>
        <v>0</v>
      </c>
      <c r="Y95" s="273"/>
      <c r="Z95" s="273">
        <f t="shared" si="3"/>
        <v>0</v>
      </c>
      <c r="AA95" s="273"/>
      <c r="AB95" s="43"/>
      <c r="AC95" s="90">
        <f t="shared" si="1"/>
        <v>0</v>
      </c>
      <c r="AD95" s="249"/>
    </row>
    <row r="96" spans="1:30" ht="15" x14ac:dyDescent="0.2">
      <c r="A96" s="188"/>
      <c r="B96" s="250" t="s">
        <v>210</v>
      </c>
      <c r="C96" s="210" t="s">
        <v>142</v>
      </c>
      <c r="D96" s="211" t="s">
        <v>14</v>
      </c>
      <c r="E96" s="199"/>
      <c r="F96" s="154"/>
      <c r="G96" s="155"/>
      <c r="H96" s="51">
        <v>26.7</v>
      </c>
      <c r="I96" s="50"/>
      <c r="J96" s="50">
        <f>K96*12/44</f>
        <v>0.71563636363636363</v>
      </c>
      <c r="K96" s="48">
        <v>2.6240000000000001</v>
      </c>
      <c r="L96" s="87">
        <v>2.8199999999999997E-4</v>
      </c>
      <c r="M96" s="87">
        <v>4.2000000000000004E-5</v>
      </c>
      <c r="N96" s="86">
        <v>0.37</v>
      </c>
      <c r="O96" s="130"/>
      <c r="P96" s="130"/>
      <c r="Q96" s="130"/>
      <c r="R96" s="56" t="str">
        <f>IF(Q96&gt;0,ROUND(44.01*Q96/12.011,6),IF(SUM(O96,P96)&gt;0, ROUND(SUM(O96,P96)*0.095,6),"na"))</f>
        <v>na</v>
      </c>
      <c r="S96" s="273"/>
      <c r="T96" s="273"/>
      <c r="U96" s="47"/>
      <c r="V96" s="43">
        <f t="shared" si="0"/>
        <v>0</v>
      </c>
      <c r="W96" s="43"/>
      <c r="X96" s="273">
        <f t="shared" si="2"/>
        <v>0</v>
      </c>
      <c r="Y96" s="273"/>
      <c r="Z96" s="273">
        <f t="shared" si="3"/>
        <v>0</v>
      </c>
      <c r="AA96" s="273"/>
      <c r="AB96" s="43"/>
      <c r="AC96" s="90">
        <f t="shared" si="1"/>
        <v>0</v>
      </c>
      <c r="AD96" s="249"/>
    </row>
    <row r="97" spans="1:30" ht="15" x14ac:dyDescent="0.2">
      <c r="B97" s="250" t="s">
        <v>210</v>
      </c>
      <c r="C97" s="210" t="s">
        <v>21</v>
      </c>
      <c r="D97" s="211" t="s">
        <v>14</v>
      </c>
      <c r="E97" s="384">
        <f>F45</f>
        <v>0</v>
      </c>
      <c r="F97" s="154"/>
      <c r="G97" s="155"/>
      <c r="H97" s="51">
        <v>30.1</v>
      </c>
      <c r="I97" s="50">
        <v>5.7191117260400208</v>
      </c>
      <c r="J97" s="50">
        <f>ROUND(3.257*12.011/44.01,3)</f>
        <v>0.88900000000000001</v>
      </c>
      <c r="K97" s="48">
        <f>ROUND(IF(J97&gt;0,44.01*J97/12.011,IF(H97&gt;0, H97,30.1)*0.1082),3)</f>
        <v>3.2570000000000001</v>
      </c>
      <c r="L97" s="87">
        <v>5.9000000000000007E-3</v>
      </c>
      <c r="M97" s="87">
        <v>1.18E-4</v>
      </c>
      <c r="N97" s="57">
        <v>0.73599999999999999</v>
      </c>
      <c r="O97" s="130"/>
      <c r="P97" s="130"/>
      <c r="Q97" s="130"/>
      <c r="R97" s="56" t="str">
        <f>IF(Q97&gt;0,ROUND(44.01*Q97/12.011,6),IF(SUM(O97,P97)&gt;0, ROUND(SUM(O97,P97)*0.1082,6),"na"))</f>
        <v>na</v>
      </c>
      <c r="S97" s="273"/>
      <c r="T97" s="273"/>
      <c r="U97" s="47"/>
      <c r="V97" s="43">
        <f t="shared" si="0"/>
        <v>0</v>
      </c>
      <c r="W97" s="43"/>
      <c r="X97" s="273">
        <f t="shared" si="2"/>
        <v>0</v>
      </c>
      <c r="Y97" s="273"/>
      <c r="Z97" s="273">
        <f t="shared" si="3"/>
        <v>0</v>
      </c>
      <c r="AA97" s="273"/>
      <c r="AB97" s="43"/>
      <c r="AC97" s="44">
        <f t="shared" si="1"/>
        <v>0</v>
      </c>
      <c r="AD97" s="249"/>
    </row>
    <row r="98" spans="1:30" ht="15" x14ac:dyDescent="0.2">
      <c r="A98" s="33"/>
      <c r="B98" s="250" t="s">
        <v>210</v>
      </c>
      <c r="C98" s="210" t="s">
        <v>22</v>
      </c>
      <c r="D98" s="211" t="s">
        <v>14</v>
      </c>
      <c r="E98" s="199"/>
      <c r="F98" s="154"/>
      <c r="G98" s="155"/>
      <c r="H98" s="49">
        <v>18.8</v>
      </c>
      <c r="I98" s="48"/>
      <c r="J98" s="50"/>
      <c r="K98" s="48"/>
      <c r="L98" s="87">
        <v>9.800000000000001E-5</v>
      </c>
      <c r="M98" s="87">
        <v>2.0000000000000002E-5</v>
      </c>
      <c r="N98" s="57"/>
      <c r="O98" s="130"/>
      <c r="P98" s="130"/>
      <c r="Q98" s="130"/>
      <c r="R98" s="57"/>
      <c r="S98" s="273"/>
      <c r="T98" s="273"/>
      <c r="U98" s="47"/>
      <c r="V98" s="43">
        <f t="shared" si="0"/>
        <v>0</v>
      </c>
      <c r="W98" s="43"/>
      <c r="X98" s="273">
        <f t="shared" si="2"/>
        <v>0</v>
      </c>
      <c r="Y98" s="273"/>
      <c r="Z98" s="273">
        <f t="shared" si="3"/>
        <v>0</v>
      </c>
      <c r="AA98" s="273"/>
      <c r="AB98" s="43"/>
      <c r="AC98" s="44">
        <f t="shared" si="1"/>
        <v>0</v>
      </c>
      <c r="AD98" s="249"/>
    </row>
    <row r="99" spans="1:30" ht="15" x14ac:dyDescent="0.2">
      <c r="A99" s="35"/>
      <c r="B99" s="250" t="s">
        <v>210</v>
      </c>
      <c r="C99" s="210" t="s">
        <v>72</v>
      </c>
      <c r="D99" s="211" t="s">
        <v>27</v>
      </c>
      <c r="E99" s="199"/>
      <c r="F99" s="154"/>
      <c r="G99" s="155"/>
      <c r="H99" s="49">
        <v>31.934999999999999</v>
      </c>
      <c r="I99" s="48"/>
      <c r="J99" s="50">
        <v>0.85</v>
      </c>
      <c r="K99" s="48">
        <f>ROUND(IF(J99&gt;0,44.01*J99/12.011,IF(H99&gt;0, H99,31.935)*0.098),3)</f>
        <v>3.1150000000000002</v>
      </c>
      <c r="L99" s="87">
        <v>2.6999999999999999E-5</v>
      </c>
      <c r="M99" s="87">
        <v>4.0000000000000003E-5</v>
      </c>
      <c r="N99" s="57"/>
      <c r="O99" s="130"/>
      <c r="P99" s="130"/>
      <c r="Q99" s="130"/>
      <c r="R99" s="56" t="str">
        <f>IF(Q99&gt;0,ROUND(44.01*Q99/12.011,6),IF(SUM(O99,P99)&gt;0, ROUND(SUM(O99,P99)*0.098,6),"na"))</f>
        <v>na</v>
      </c>
      <c r="S99" s="273"/>
      <c r="T99" s="273"/>
      <c r="U99" s="47"/>
      <c r="V99" s="43">
        <f t="shared" si="0"/>
        <v>0</v>
      </c>
      <c r="W99" s="43"/>
      <c r="X99" s="273">
        <f t="shared" si="2"/>
        <v>0</v>
      </c>
      <c r="Y99" s="273"/>
      <c r="Z99" s="273">
        <f t="shared" si="3"/>
        <v>0</v>
      </c>
      <c r="AA99" s="273"/>
      <c r="AB99" s="43"/>
      <c r="AC99" s="44">
        <f t="shared" si="1"/>
        <v>0</v>
      </c>
      <c r="AD99" s="249"/>
    </row>
    <row r="100" spans="1:30" ht="15" x14ac:dyDescent="0.2">
      <c r="A100" s="35"/>
      <c r="B100" s="250" t="s">
        <v>193</v>
      </c>
      <c r="C100" s="210" t="s">
        <v>89</v>
      </c>
      <c r="D100" s="211" t="s">
        <v>27</v>
      </c>
      <c r="E100" s="199"/>
      <c r="F100" s="154"/>
      <c r="G100" s="155"/>
      <c r="H100" s="49">
        <v>46</v>
      </c>
      <c r="I100" s="48"/>
      <c r="J100" s="58"/>
      <c r="K100" s="48">
        <f>IF(H100&gt;0,ROUND(H100*0.052521739,3),ROUND(2.4158,3))</f>
        <v>2.4159999999999999</v>
      </c>
      <c r="L100" s="87" t="s">
        <v>95</v>
      </c>
      <c r="M100" s="87" t="s">
        <v>95</v>
      </c>
      <c r="N100" s="57"/>
      <c r="O100" s="130"/>
      <c r="P100" s="130"/>
      <c r="Q100" s="130"/>
      <c r="R100" s="56" t="str">
        <f>IF(SUM(O100,P100)&gt;0,ROUND(SUM(O100,P100)*0.052521739,6),"na")</f>
        <v>na</v>
      </c>
      <c r="S100" s="273"/>
      <c r="T100" s="273"/>
      <c r="U100" s="47"/>
      <c r="V100" s="43">
        <f t="shared" si="0"/>
        <v>0</v>
      </c>
      <c r="W100" s="43"/>
      <c r="X100" s="273">
        <f t="shared" si="2"/>
        <v>0</v>
      </c>
      <c r="Y100" s="273"/>
      <c r="Z100" s="273">
        <f t="shared" si="3"/>
        <v>0</v>
      </c>
      <c r="AA100" s="273"/>
      <c r="AB100" s="43"/>
      <c r="AC100" s="44">
        <f t="shared" si="1"/>
        <v>0</v>
      </c>
      <c r="AD100" s="249"/>
    </row>
    <row r="101" spans="1:30" ht="15" x14ac:dyDescent="0.2">
      <c r="A101" s="35"/>
      <c r="B101" s="250" t="s">
        <v>193</v>
      </c>
      <c r="C101" s="210" t="s">
        <v>88</v>
      </c>
      <c r="D101" s="211" t="s">
        <v>27</v>
      </c>
      <c r="E101" s="199"/>
      <c r="F101" s="154"/>
      <c r="G101" s="155"/>
      <c r="H101" s="49">
        <v>35</v>
      </c>
      <c r="I101" s="48"/>
      <c r="J101" s="58"/>
      <c r="K101" s="48">
        <f>IF(H101&gt;0,ROUND(H101*0.062828571,3),ROUND(2.1985,3))</f>
        <v>2.1989999999999998</v>
      </c>
      <c r="L101" s="87" t="s">
        <v>95</v>
      </c>
      <c r="M101" s="87" t="s">
        <v>95</v>
      </c>
      <c r="N101" s="57"/>
      <c r="O101" s="130"/>
      <c r="P101" s="130"/>
      <c r="Q101" s="130"/>
      <c r="R101" s="56" t="str">
        <f>IF(SUM(O101,P101)&gt;0,ROUND(SUM(O101,P101)*0.062828571,6),"na")</f>
        <v>na</v>
      </c>
      <c r="S101" s="273"/>
      <c r="T101" s="273"/>
      <c r="U101" s="47"/>
      <c r="V101" s="43">
        <f t="shared" si="0"/>
        <v>0</v>
      </c>
      <c r="W101" s="43"/>
      <c r="X101" s="273">
        <f t="shared" si="2"/>
        <v>0</v>
      </c>
      <c r="Y101" s="273"/>
      <c r="Z101" s="273">
        <f t="shared" si="3"/>
        <v>0</v>
      </c>
      <c r="AA101" s="273"/>
      <c r="AB101" s="43"/>
      <c r="AC101" s="44">
        <f t="shared" si="1"/>
        <v>0</v>
      </c>
      <c r="AD101" s="249"/>
    </row>
    <row r="102" spans="1:30" ht="17" x14ac:dyDescent="0.2">
      <c r="A102" s="35"/>
      <c r="B102" s="250" t="s">
        <v>197</v>
      </c>
      <c r="C102" s="210" t="s">
        <v>23</v>
      </c>
      <c r="D102" s="211" t="s">
        <v>112</v>
      </c>
      <c r="E102" s="199"/>
      <c r="F102" s="154"/>
      <c r="G102" s="155"/>
      <c r="H102" s="49">
        <v>37.700000000000003</v>
      </c>
      <c r="I102" s="48"/>
      <c r="J102" s="58"/>
      <c r="K102" s="48">
        <f>IF(H102&gt;0,ROUND(H102*0.0771,3),ROUND(37.7*0.0771,3))</f>
        <v>2.907</v>
      </c>
      <c r="L102" s="87">
        <v>1.13E-4</v>
      </c>
      <c r="M102" s="87">
        <v>2.3E-5</v>
      </c>
      <c r="N102" s="57">
        <f>ROUND(IF(N103&gt;0,N103,0.247)*K102/K103,3)</f>
        <v>0.27600000000000002</v>
      </c>
      <c r="O102" s="130"/>
      <c r="P102" s="130"/>
      <c r="Q102" s="130"/>
      <c r="R102" s="56" t="str">
        <f>IF(SUM(O102,P102)&gt;0,ROUND(SUM(O102,P102)*0.0771,6),"na")</f>
        <v>na</v>
      </c>
      <c r="S102" s="273"/>
      <c r="T102" s="273"/>
      <c r="U102" s="47"/>
      <c r="V102" s="43">
        <f t="shared" si="0"/>
        <v>0</v>
      </c>
      <c r="W102" s="43"/>
      <c r="X102" s="273">
        <f t="shared" si="2"/>
        <v>0</v>
      </c>
      <c r="Y102" s="273"/>
      <c r="Z102" s="273">
        <f t="shared" si="3"/>
        <v>0</v>
      </c>
      <c r="AA102" s="273"/>
      <c r="AB102" s="43"/>
      <c r="AC102" s="44">
        <f t="shared" si="1"/>
        <v>0</v>
      </c>
      <c r="AD102" s="249"/>
    </row>
    <row r="103" spans="1:30" ht="17" x14ac:dyDescent="0.2">
      <c r="A103" s="35"/>
      <c r="B103" s="250" t="s">
        <v>197</v>
      </c>
      <c r="C103" s="210" t="s">
        <v>24</v>
      </c>
      <c r="D103" s="211" t="s">
        <v>112</v>
      </c>
      <c r="E103" s="199"/>
      <c r="F103" s="154"/>
      <c r="G103" s="155"/>
      <c r="H103" s="49">
        <v>35.1</v>
      </c>
      <c r="I103" s="48"/>
      <c r="J103" s="58"/>
      <c r="K103" s="48">
        <f>IF(H103&gt;0,ROUND(H103*0.0741,3),ROUND(35.1*0.0741,3))</f>
        <v>2.601</v>
      </c>
      <c r="L103" s="87">
        <v>1.05E-4</v>
      </c>
      <c r="M103" s="87">
        <v>2.0999999999999999E-5</v>
      </c>
      <c r="N103" s="57">
        <f>ROUND(0.85*0.29,3)</f>
        <v>0.247</v>
      </c>
      <c r="O103" s="130"/>
      <c r="P103" s="130"/>
      <c r="Q103" s="130"/>
      <c r="R103" s="56" t="str">
        <f>IF(SUM(O103,P103)&gt;0,ROUND(SUM(O103,P103)*0.0741,3),"na")</f>
        <v>na</v>
      </c>
      <c r="S103" s="273"/>
      <c r="T103" s="273"/>
      <c r="U103" s="47"/>
      <c r="V103" s="43">
        <f t="shared" si="0"/>
        <v>0</v>
      </c>
      <c r="W103" s="43"/>
      <c r="X103" s="273">
        <f t="shared" si="2"/>
        <v>0</v>
      </c>
      <c r="Y103" s="273"/>
      <c r="Z103" s="273">
        <f t="shared" si="3"/>
        <v>0</v>
      </c>
      <c r="AA103" s="273"/>
      <c r="AB103" s="43"/>
      <c r="AC103" s="44">
        <f t="shared" si="1"/>
        <v>0</v>
      </c>
      <c r="AD103" s="249"/>
    </row>
    <row r="104" spans="1:30" ht="17" x14ac:dyDescent="0.2">
      <c r="A104" s="35"/>
      <c r="B104" s="250" t="s">
        <v>197</v>
      </c>
      <c r="C104" s="210" t="s">
        <v>25</v>
      </c>
      <c r="D104" s="211" t="s">
        <v>112</v>
      </c>
      <c r="E104" s="199"/>
      <c r="F104" s="154"/>
      <c r="G104" s="155"/>
      <c r="H104" s="49">
        <v>34.700000000000003</v>
      </c>
      <c r="I104" s="48"/>
      <c r="J104" s="58"/>
      <c r="K104" s="48">
        <f>IF(H104&gt;0,ROUND(H104*0.0715,3),ROUND(34.7*0.0715,3))</f>
        <v>2.4809999999999999</v>
      </c>
      <c r="L104" s="87">
        <v>1.0399999999999999E-4</v>
      </c>
      <c r="M104" s="87">
        <v>2.0999999999999999E-5</v>
      </c>
      <c r="N104" s="57">
        <f>ROUND(0.85*0.29,3)</f>
        <v>0.247</v>
      </c>
      <c r="O104" s="130"/>
      <c r="P104" s="130"/>
      <c r="Q104" s="130"/>
      <c r="R104" s="56" t="str">
        <f>IF(SUM(O104,P104)&gt;0,ROUND(SUM(O104,P104)*0.0715,3),"na")</f>
        <v>na</v>
      </c>
      <c r="S104" s="273"/>
      <c r="T104" s="273"/>
      <c r="U104" s="47"/>
      <c r="V104" s="43">
        <f t="shared" si="0"/>
        <v>0</v>
      </c>
      <c r="W104" s="43"/>
      <c r="X104" s="273">
        <f t="shared" si="2"/>
        <v>0</v>
      </c>
      <c r="Y104" s="273"/>
      <c r="Z104" s="273">
        <f t="shared" si="3"/>
        <v>0</v>
      </c>
      <c r="AA104" s="273"/>
      <c r="AB104" s="43"/>
      <c r="AC104" s="44">
        <f t="shared" si="1"/>
        <v>0</v>
      </c>
      <c r="AD104" s="249"/>
    </row>
    <row r="105" spans="1:30" ht="15" x14ac:dyDescent="0.2">
      <c r="A105" s="35"/>
      <c r="B105" s="250" t="s">
        <v>197</v>
      </c>
      <c r="C105" s="210" t="s">
        <v>26</v>
      </c>
      <c r="D105" s="211" t="s">
        <v>27</v>
      </c>
      <c r="E105" s="199"/>
      <c r="F105" s="154"/>
      <c r="G105" s="155"/>
      <c r="H105" s="49">
        <v>47.3</v>
      </c>
      <c r="I105" s="48"/>
      <c r="J105" s="58"/>
      <c r="K105" s="48">
        <f>IF(H105&gt;0,ROUND(H105*0.0631,3),ROUND(47.3*0.0631,0))</f>
        <v>2.9849999999999999</v>
      </c>
      <c r="L105" s="87">
        <v>4.6999999999999997E-5</v>
      </c>
      <c r="M105" s="87">
        <v>5.0000000000000004E-6</v>
      </c>
      <c r="N105" s="57"/>
      <c r="O105" s="130"/>
      <c r="P105" s="130"/>
      <c r="Q105" s="130"/>
      <c r="R105" s="56" t="str">
        <f>IF(SUM(O105,P105)&gt;0,ROUND(SUM(O105,P105)*0.0631,3),"na")</f>
        <v>na</v>
      </c>
      <c r="S105" s="273"/>
      <c r="T105" s="273"/>
      <c r="U105" s="47"/>
      <c r="V105" s="43">
        <f t="shared" si="0"/>
        <v>0</v>
      </c>
      <c r="W105" s="43"/>
      <c r="X105" s="273">
        <f>IFERROR(ROUND(IF($S105&lt;&gt;"",$S105,$L105)*($E105+$F105-$G105),6),0)</f>
        <v>0</v>
      </c>
      <c r="Y105" s="273"/>
      <c r="Z105" s="273">
        <f t="shared" si="3"/>
        <v>0</v>
      </c>
      <c r="AA105" s="273"/>
      <c r="AB105" s="43"/>
      <c r="AC105" s="44">
        <f t="shared" si="1"/>
        <v>0</v>
      </c>
      <c r="AD105" s="249"/>
    </row>
    <row r="106" spans="1:30" ht="17" x14ac:dyDescent="0.2">
      <c r="A106" s="35"/>
      <c r="B106" s="250" t="s">
        <v>197</v>
      </c>
      <c r="C106" s="210" t="s">
        <v>28</v>
      </c>
      <c r="D106" s="211" t="s">
        <v>115</v>
      </c>
      <c r="E106" s="199"/>
      <c r="F106" s="154"/>
      <c r="G106" s="155"/>
      <c r="H106" s="51">
        <v>35.9</v>
      </c>
      <c r="I106" s="50"/>
      <c r="J106" s="50">
        <f>ROUND(2.014*12.011/44.01,3)</f>
        <v>0.55000000000000004</v>
      </c>
      <c r="K106" s="48">
        <f>ROUND(IF(J106&gt;0,44.01*J106/12.011,IF(H106&gt;0, H106,35.9)*0.0561),3)</f>
        <v>2.0150000000000001</v>
      </c>
      <c r="L106" s="87">
        <v>1.08E-4</v>
      </c>
      <c r="M106" s="87">
        <v>2.1999999999999999E-5</v>
      </c>
      <c r="N106" s="57">
        <f>ROUND(K106*0.33,3)</f>
        <v>0.66500000000000004</v>
      </c>
      <c r="O106" s="130"/>
      <c r="P106" s="130"/>
      <c r="Q106" s="130"/>
      <c r="R106" s="56" t="str">
        <f>IF(Q106&gt;0,ROUND(44.01*Q106/12.011,6),IF(SUM(O106,P106)&gt;0, ROUND(SUM(O106,P106)*0.0561,6),"na"))</f>
        <v>na</v>
      </c>
      <c r="S106" s="273"/>
      <c r="T106" s="273"/>
      <c r="U106" s="47"/>
      <c r="V106" s="43">
        <f t="shared" si="0"/>
        <v>0</v>
      </c>
      <c r="W106" s="43"/>
      <c r="X106" s="273">
        <f t="shared" si="2"/>
        <v>0</v>
      </c>
      <c r="Y106" s="273"/>
      <c r="Z106" s="273">
        <f t="shared" si="3"/>
        <v>0</v>
      </c>
      <c r="AA106" s="273"/>
      <c r="AB106" s="43"/>
      <c r="AC106" s="44">
        <f t="shared" si="1"/>
        <v>0</v>
      </c>
      <c r="AD106" s="249"/>
    </row>
    <row r="107" spans="1:30" ht="15" x14ac:dyDescent="0.2">
      <c r="A107" s="35"/>
      <c r="B107" s="250" t="s">
        <v>197</v>
      </c>
      <c r="C107" s="210" t="s">
        <v>29</v>
      </c>
      <c r="D107" s="385" t="s">
        <v>115</v>
      </c>
      <c r="E107" s="199"/>
      <c r="F107" s="154"/>
      <c r="G107" s="155"/>
      <c r="H107" s="51">
        <v>35.9</v>
      </c>
      <c r="I107" s="50"/>
      <c r="J107" s="50">
        <f>ROUND(2.014*12.011/44.01,3)</f>
        <v>0.55000000000000004</v>
      </c>
      <c r="K107" s="48">
        <f>ROUND(IF(J107&gt;0,44.01*J107/12.011,IF(H107&gt;0, H107,35.9)*0.0561),3)</f>
        <v>2.0150000000000001</v>
      </c>
      <c r="L107" s="87">
        <v>3.6000000000000001E-5</v>
      </c>
      <c r="M107" s="87">
        <v>3.9999999999999998E-6</v>
      </c>
      <c r="N107" s="86">
        <v>0.6</v>
      </c>
      <c r="O107" s="130"/>
      <c r="P107" s="130"/>
      <c r="Q107" s="130"/>
      <c r="R107" s="56" t="str">
        <f>IF(Q107&gt;0,ROUND(44.01*Q107/12.011,6),IF(SUM(O107,P107)&gt;0, ROUND(SUM(O107,P107)*0.0561,6),"na"))</f>
        <v>na</v>
      </c>
      <c r="S107" s="273"/>
      <c r="T107" s="273"/>
      <c r="U107" s="47"/>
      <c r="V107" s="43">
        <f t="shared" si="0"/>
        <v>0</v>
      </c>
      <c r="W107" s="43"/>
      <c r="X107" s="273">
        <f t="shared" si="2"/>
        <v>0</v>
      </c>
      <c r="Y107" s="273"/>
      <c r="Z107" s="273">
        <f t="shared" si="3"/>
        <v>0</v>
      </c>
      <c r="AA107" s="273"/>
      <c r="AB107" s="43"/>
      <c r="AC107" s="90">
        <f t="shared" si="1"/>
        <v>0</v>
      </c>
      <c r="AD107" s="249"/>
    </row>
    <row r="108" spans="1:30" ht="15" x14ac:dyDescent="0.2">
      <c r="A108" s="35"/>
      <c r="B108" s="250" t="s">
        <v>197</v>
      </c>
      <c r="C108" s="210" t="s">
        <v>73</v>
      </c>
      <c r="D108" s="211" t="s">
        <v>27</v>
      </c>
      <c r="E108" s="199"/>
      <c r="F108" s="154"/>
      <c r="G108" s="155"/>
      <c r="H108" s="49">
        <v>120</v>
      </c>
      <c r="I108" s="48"/>
      <c r="J108" s="58"/>
      <c r="K108" s="48"/>
      <c r="L108" s="87" t="s">
        <v>95</v>
      </c>
      <c r="M108" s="87" t="s">
        <v>95</v>
      </c>
      <c r="N108" s="57">
        <v>0</v>
      </c>
      <c r="O108" s="130"/>
      <c r="P108" s="130"/>
      <c r="Q108" s="130"/>
      <c r="R108" s="48"/>
      <c r="S108" s="273"/>
      <c r="T108" s="273"/>
      <c r="U108" s="45"/>
      <c r="V108" s="43">
        <f t="shared" si="0"/>
        <v>0</v>
      </c>
      <c r="W108" s="43"/>
      <c r="X108" s="273">
        <f t="shared" si="2"/>
        <v>0</v>
      </c>
      <c r="Y108" s="273"/>
      <c r="Z108" s="273">
        <f t="shared" si="3"/>
        <v>0</v>
      </c>
      <c r="AA108" s="273"/>
      <c r="AB108" s="43"/>
      <c r="AC108" s="44">
        <f t="shared" si="1"/>
        <v>0</v>
      </c>
      <c r="AD108" s="249"/>
    </row>
    <row r="109" spans="1:30" ht="15" x14ac:dyDescent="0.2">
      <c r="A109" s="35"/>
      <c r="B109" s="250" t="s">
        <v>197</v>
      </c>
      <c r="C109" s="210" t="s">
        <v>74</v>
      </c>
      <c r="D109" s="211" t="s">
        <v>27</v>
      </c>
      <c r="E109" s="199"/>
      <c r="F109" s="154"/>
      <c r="G109" s="155"/>
      <c r="H109" s="49">
        <v>120</v>
      </c>
      <c r="I109" s="48"/>
      <c r="J109" s="58"/>
      <c r="K109" s="48"/>
      <c r="L109" s="87" t="s">
        <v>95</v>
      </c>
      <c r="M109" s="87" t="s">
        <v>95</v>
      </c>
      <c r="N109" s="57">
        <v>1.8</v>
      </c>
      <c r="O109" s="130"/>
      <c r="P109" s="130"/>
      <c r="Q109" s="130"/>
      <c r="R109" s="48"/>
      <c r="S109" s="273"/>
      <c r="T109" s="273"/>
      <c r="U109" s="47"/>
      <c r="V109" s="43">
        <f t="shared" si="0"/>
        <v>0</v>
      </c>
      <c r="W109" s="43"/>
      <c r="X109" s="273">
        <f t="shared" si="2"/>
        <v>0</v>
      </c>
      <c r="Y109" s="273"/>
      <c r="Z109" s="273">
        <f t="shared" si="3"/>
        <v>0</v>
      </c>
      <c r="AA109" s="273"/>
      <c r="AB109" s="43"/>
      <c r="AC109" s="44">
        <f t="shared" si="1"/>
        <v>0</v>
      </c>
      <c r="AD109" s="249"/>
    </row>
    <row r="110" spans="1:30" ht="15" x14ac:dyDescent="0.2">
      <c r="A110" s="35"/>
      <c r="B110" s="250" t="s">
        <v>197</v>
      </c>
      <c r="C110" s="210" t="s">
        <v>75</v>
      </c>
      <c r="D110" s="211" t="s">
        <v>27</v>
      </c>
      <c r="E110" s="199"/>
      <c r="F110" s="154"/>
      <c r="G110" s="155"/>
      <c r="H110" s="49">
        <v>120</v>
      </c>
      <c r="I110" s="48"/>
      <c r="J110" s="58"/>
      <c r="K110" s="48"/>
      <c r="L110" s="87" t="s">
        <v>95</v>
      </c>
      <c r="M110" s="87" t="s">
        <v>95</v>
      </c>
      <c r="N110" s="57">
        <v>19.8</v>
      </c>
      <c r="O110" s="130"/>
      <c r="P110" s="130"/>
      <c r="Q110" s="130"/>
      <c r="R110" s="48"/>
      <c r="S110" s="273"/>
      <c r="T110" s="273"/>
      <c r="U110" s="47"/>
      <c r="V110" s="43">
        <f t="shared" si="0"/>
        <v>0</v>
      </c>
      <c r="W110" s="43"/>
      <c r="X110" s="273">
        <f t="shared" si="2"/>
        <v>0</v>
      </c>
      <c r="Y110" s="273"/>
      <c r="Z110" s="273">
        <f t="shared" si="3"/>
        <v>0</v>
      </c>
      <c r="AA110" s="273"/>
      <c r="AB110" s="43"/>
      <c r="AC110" s="44">
        <f t="shared" si="1"/>
        <v>0</v>
      </c>
      <c r="AD110" s="249"/>
    </row>
    <row r="111" spans="1:30" ht="15" x14ac:dyDescent="0.2">
      <c r="A111" s="35"/>
      <c r="B111" s="250" t="s">
        <v>197</v>
      </c>
      <c r="C111" s="210" t="s">
        <v>84</v>
      </c>
      <c r="D111" s="211" t="s">
        <v>27</v>
      </c>
      <c r="E111" s="199"/>
      <c r="F111" s="154"/>
      <c r="G111" s="155"/>
      <c r="H111" s="49">
        <v>50.4</v>
      </c>
      <c r="I111" s="48"/>
      <c r="J111" s="50">
        <v>0.751</v>
      </c>
      <c r="K111" s="48"/>
      <c r="L111" s="87">
        <v>5.0000000000000002E-5</v>
      </c>
      <c r="M111" s="87">
        <v>5.0000000000000004E-6</v>
      </c>
      <c r="N111" s="57">
        <v>0</v>
      </c>
      <c r="O111" s="130"/>
      <c r="P111" s="130"/>
      <c r="Q111" s="130"/>
      <c r="R111" s="48"/>
      <c r="S111" s="273"/>
      <c r="T111" s="273"/>
      <c r="U111" s="47"/>
      <c r="V111" s="43">
        <f t="shared" si="0"/>
        <v>0</v>
      </c>
      <c r="W111" s="43"/>
      <c r="X111" s="273">
        <f t="shared" si="2"/>
        <v>0</v>
      </c>
      <c r="Y111" s="273"/>
      <c r="Z111" s="273">
        <f t="shared" si="3"/>
        <v>0</v>
      </c>
      <c r="AA111" s="273"/>
      <c r="AB111" s="43"/>
      <c r="AC111" s="44">
        <f t="shared" si="1"/>
        <v>0</v>
      </c>
      <c r="AD111" s="249"/>
    </row>
    <row r="112" spans="1:30" ht="15" x14ac:dyDescent="0.2">
      <c r="A112" s="35"/>
      <c r="B112" s="250" t="s">
        <v>194</v>
      </c>
      <c r="C112" s="210" t="s">
        <v>30</v>
      </c>
      <c r="D112" s="211" t="s">
        <v>14</v>
      </c>
      <c r="E112" s="199"/>
      <c r="F112" s="154"/>
      <c r="G112" s="155"/>
      <c r="H112" s="49"/>
      <c r="I112" s="48"/>
      <c r="J112" s="48">
        <f>ROUND(0.4404*12.011/44.01,3)</f>
        <v>0.12</v>
      </c>
      <c r="K112" s="48">
        <f>ROUND(IF(J112&gt;0,44.01*J112/12.011,44.01*0.12/12.011),3)</f>
        <v>0.44</v>
      </c>
      <c r="L112" s="87" t="s">
        <v>95</v>
      </c>
      <c r="M112" s="87" t="s">
        <v>95</v>
      </c>
      <c r="N112" s="86">
        <v>2.3E-2</v>
      </c>
      <c r="O112" s="130"/>
      <c r="P112" s="130"/>
      <c r="Q112" s="130"/>
      <c r="R112" s="56" t="str">
        <f>IF(Q112&gt;0,ROUND(44.01*Q112/12.011,6),"na")</f>
        <v>na</v>
      </c>
      <c r="S112" s="273"/>
      <c r="T112" s="273"/>
      <c r="U112" s="47"/>
      <c r="V112" s="43">
        <f t="shared" si="0"/>
        <v>0</v>
      </c>
      <c r="W112" s="43"/>
      <c r="X112" s="273">
        <f t="shared" si="2"/>
        <v>0</v>
      </c>
      <c r="Y112" s="273"/>
      <c r="Z112" s="273">
        <f t="shared" si="3"/>
        <v>0</v>
      </c>
      <c r="AA112" s="273"/>
      <c r="AB112" s="43"/>
      <c r="AC112" s="91">
        <f t="shared" si="1"/>
        <v>0</v>
      </c>
      <c r="AD112" s="249"/>
    </row>
    <row r="113" spans="1:30" ht="15" x14ac:dyDescent="0.2">
      <c r="A113" s="35"/>
      <c r="B113" s="250" t="s">
        <v>194</v>
      </c>
      <c r="C113" s="210" t="s">
        <v>31</v>
      </c>
      <c r="D113" s="211" t="s">
        <v>27</v>
      </c>
      <c r="E113" s="384">
        <f>F48</f>
        <v>0</v>
      </c>
      <c r="F113" s="154"/>
      <c r="G113" s="155"/>
      <c r="H113" s="49"/>
      <c r="I113" s="48">
        <v>4.5</v>
      </c>
      <c r="J113" s="58"/>
      <c r="K113" s="48"/>
      <c r="L113" s="87" t="s">
        <v>95</v>
      </c>
      <c r="M113" s="87" t="s">
        <v>95</v>
      </c>
      <c r="N113" s="57">
        <v>0.95</v>
      </c>
      <c r="O113" s="130"/>
      <c r="P113" s="130"/>
      <c r="Q113" s="130"/>
      <c r="R113" s="48"/>
      <c r="S113" s="273"/>
      <c r="T113" s="273"/>
      <c r="U113" s="47"/>
      <c r="V113" s="43">
        <f t="shared" si="0"/>
        <v>0</v>
      </c>
      <c r="W113" s="43"/>
      <c r="X113" s="273">
        <f t="shared" si="2"/>
        <v>0</v>
      </c>
      <c r="Y113" s="273"/>
      <c r="Z113" s="273">
        <f t="shared" si="3"/>
        <v>0</v>
      </c>
      <c r="AA113" s="273"/>
      <c r="AB113" s="43"/>
      <c r="AC113" s="44">
        <f t="shared" si="1"/>
        <v>0</v>
      </c>
      <c r="AD113" s="249"/>
    </row>
    <row r="114" spans="1:30" ht="15" x14ac:dyDescent="0.2">
      <c r="A114" s="35"/>
      <c r="B114" s="250" t="s">
        <v>194</v>
      </c>
      <c r="C114" s="210" t="s">
        <v>32</v>
      </c>
      <c r="D114" s="211" t="s">
        <v>14</v>
      </c>
      <c r="E114" s="199"/>
      <c r="F114" s="154"/>
      <c r="G114" s="155"/>
      <c r="H114" s="49"/>
      <c r="I114" s="48"/>
      <c r="J114" s="50">
        <f>ROUND(0.4771*12.011/44.01,3)</f>
        <v>0.13</v>
      </c>
      <c r="K114" s="48">
        <f>ROUND(IF(J114&gt;0,44.01*J114/12.011,44.01*0.13/12.011),3)</f>
        <v>0.47599999999999998</v>
      </c>
      <c r="L114" s="87" t="s">
        <v>95</v>
      </c>
      <c r="M114" s="87" t="s">
        <v>95</v>
      </c>
      <c r="N114" s="86">
        <v>2.3E-2</v>
      </c>
      <c r="O114" s="130"/>
      <c r="P114" s="130"/>
      <c r="Q114" s="130"/>
      <c r="R114" s="56" t="str">
        <f>IF(Q114&gt;0,ROUND(44.01*Q114/12.011,6),"na")</f>
        <v>na</v>
      </c>
      <c r="S114" s="273"/>
      <c r="T114" s="273"/>
      <c r="U114" s="47"/>
      <c r="V114" s="43">
        <f t="shared" si="0"/>
        <v>0</v>
      </c>
      <c r="W114" s="43"/>
      <c r="X114" s="273">
        <f t="shared" si="2"/>
        <v>0</v>
      </c>
      <c r="Y114" s="273"/>
      <c r="Z114" s="273">
        <f t="shared" si="3"/>
        <v>0</v>
      </c>
      <c r="AA114" s="273"/>
      <c r="AB114" s="43"/>
      <c r="AC114" s="91">
        <f t="shared" si="1"/>
        <v>0</v>
      </c>
      <c r="AD114" s="249"/>
    </row>
    <row r="115" spans="1:30" ht="15" x14ac:dyDescent="0.2">
      <c r="A115" s="35"/>
      <c r="B115" s="250" t="s">
        <v>194</v>
      </c>
      <c r="C115" s="210" t="s">
        <v>33</v>
      </c>
      <c r="D115" s="211" t="s">
        <v>27</v>
      </c>
      <c r="E115" s="199"/>
      <c r="F115" s="154"/>
      <c r="G115" s="155"/>
      <c r="H115" s="49"/>
      <c r="I115" s="48">
        <v>4.5</v>
      </c>
      <c r="J115" s="58"/>
      <c r="K115" s="48"/>
      <c r="L115" s="87" t="s">
        <v>95</v>
      </c>
      <c r="M115" s="87" t="s">
        <v>95</v>
      </c>
      <c r="N115" s="57">
        <v>1.1000000000000001</v>
      </c>
      <c r="O115" s="130"/>
      <c r="P115" s="130"/>
      <c r="Q115" s="130"/>
      <c r="R115" s="48"/>
      <c r="S115" s="273"/>
      <c r="T115" s="273"/>
      <c r="U115" s="47"/>
      <c r="V115" s="43">
        <f t="shared" si="0"/>
        <v>0</v>
      </c>
      <c r="W115" s="43"/>
      <c r="X115" s="273">
        <f t="shared" si="2"/>
        <v>0</v>
      </c>
      <c r="Y115" s="273"/>
      <c r="Z115" s="273">
        <f t="shared" si="3"/>
        <v>0</v>
      </c>
      <c r="AA115" s="273"/>
      <c r="AB115" s="43"/>
      <c r="AC115" s="44">
        <f t="shared" si="1"/>
        <v>0</v>
      </c>
      <c r="AD115" s="249"/>
    </row>
    <row r="116" spans="1:30" ht="15" x14ac:dyDescent="0.2">
      <c r="A116" s="35"/>
      <c r="B116" s="250" t="s">
        <v>200</v>
      </c>
      <c r="C116" s="210" t="s">
        <v>34</v>
      </c>
      <c r="D116" s="211" t="s">
        <v>27</v>
      </c>
      <c r="E116" s="384">
        <f>F46</f>
        <v>0</v>
      </c>
      <c r="F116" s="154"/>
      <c r="G116" s="155"/>
      <c r="H116" s="49"/>
      <c r="I116" s="48">
        <v>2.4500000000000002</v>
      </c>
      <c r="J116" s="58"/>
      <c r="K116" s="48"/>
      <c r="L116" s="87" t="s">
        <v>95</v>
      </c>
      <c r="M116" s="87" t="s">
        <v>95</v>
      </c>
      <c r="N116" s="57">
        <v>0.26200000000000001</v>
      </c>
      <c r="O116" s="130"/>
      <c r="P116" s="130"/>
      <c r="Q116" s="130"/>
      <c r="R116" s="48"/>
      <c r="S116" s="273"/>
      <c r="T116" s="273"/>
      <c r="U116" s="47"/>
      <c r="V116" s="43">
        <f t="shared" si="0"/>
        <v>0</v>
      </c>
      <c r="W116" s="43"/>
      <c r="X116" s="273">
        <f t="shared" si="2"/>
        <v>0</v>
      </c>
      <c r="Y116" s="273"/>
      <c r="Z116" s="273">
        <f t="shared" si="3"/>
        <v>0</v>
      </c>
      <c r="AA116" s="273"/>
      <c r="AB116" s="43"/>
      <c r="AC116" s="44">
        <f t="shared" si="1"/>
        <v>0</v>
      </c>
      <c r="AD116" s="249"/>
    </row>
    <row r="117" spans="1:30" ht="15" x14ac:dyDescent="0.2">
      <c r="A117" s="35"/>
      <c r="B117" s="250" t="s">
        <v>200</v>
      </c>
      <c r="C117" s="210" t="s">
        <v>35</v>
      </c>
      <c r="D117" s="211" t="s">
        <v>27</v>
      </c>
      <c r="E117" s="384">
        <f>F47</f>
        <v>0</v>
      </c>
      <c r="F117" s="154"/>
      <c r="G117" s="155"/>
      <c r="H117" s="49"/>
      <c r="I117" s="48">
        <v>2.1</v>
      </c>
      <c r="J117" s="58"/>
      <c r="K117" s="48"/>
      <c r="L117" s="87" t="s">
        <v>95</v>
      </c>
      <c r="M117" s="87" t="s">
        <v>95</v>
      </c>
      <c r="N117" s="57">
        <v>0.13700000000000001</v>
      </c>
      <c r="O117" s="130"/>
      <c r="P117" s="130"/>
      <c r="Q117" s="130"/>
      <c r="R117" s="48"/>
      <c r="S117" s="273"/>
      <c r="T117" s="273"/>
      <c r="U117" s="47"/>
      <c r="V117" s="43">
        <f t="shared" si="0"/>
        <v>0</v>
      </c>
      <c r="W117" s="43"/>
      <c r="X117" s="273">
        <f t="shared" si="2"/>
        <v>0</v>
      </c>
      <c r="Y117" s="273"/>
      <c r="Z117" s="273">
        <f t="shared" si="3"/>
        <v>0</v>
      </c>
      <c r="AA117" s="273"/>
      <c r="AB117" s="43"/>
      <c r="AC117" s="44">
        <f t="shared" si="1"/>
        <v>0</v>
      </c>
      <c r="AD117" s="249"/>
    </row>
    <row r="118" spans="1:30" ht="15" x14ac:dyDescent="0.2">
      <c r="A118" s="35"/>
      <c r="B118" s="250" t="s">
        <v>193</v>
      </c>
      <c r="C118" s="210" t="s">
        <v>36</v>
      </c>
      <c r="D118" s="211" t="s">
        <v>27</v>
      </c>
      <c r="E118" s="199"/>
      <c r="F118" s="154"/>
      <c r="G118" s="155"/>
      <c r="H118" s="49"/>
      <c r="I118" s="48"/>
      <c r="J118" s="58"/>
      <c r="K118" s="48">
        <f>3.663</f>
        <v>3.6629999999999998</v>
      </c>
      <c r="L118" s="87" t="s">
        <v>95</v>
      </c>
      <c r="M118" s="87" t="s">
        <v>95</v>
      </c>
      <c r="N118" s="57">
        <v>0.65</v>
      </c>
      <c r="O118" s="130"/>
      <c r="P118" s="130"/>
      <c r="Q118" s="130"/>
      <c r="R118" s="59"/>
      <c r="S118" s="273"/>
      <c r="T118" s="273"/>
      <c r="U118" s="47"/>
      <c r="V118" s="43">
        <f>IF($F118&gt;0,IF(R118&gt;0,ROUND(R118*($F118-G118),6),ROUND(K118*($F118-G118),6)),IF(($F63)&gt;0,ROUND(0.005*$F63,6),0))</f>
        <v>0</v>
      </c>
      <c r="W118" s="43"/>
      <c r="X118" s="273">
        <f t="shared" si="2"/>
        <v>0</v>
      </c>
      <c r="Y118" s="273"/>
      <c r="Z118" s="273">
        <f t="shared" si="3"/>
        <v>0</v>
      </c>
      <c r="AA118" s="273"/>
      <c r="AB118" s="43"/>
      <c r="AC118" s="44">
        <f t="shared" si="1"/>
        <v>0</v>
      </c>
      <c r="AD118" s="249"/>
    </row>
    <row r="119" spans="1:30" ht="15" x14ac:dyDescent="0.2">
      <c r="A119" s="35"/>
      <c r="B119" s="250" t="s">
        <v>195</v>
      </c>
      <c r="C119" s="209" t="s">
        <v>80</v>
      </c>
      <c r="D119" s="211" t="s">
        <v>27</v>
      </c>
      <c r="E119" s="199"/>
      <c r="F119" s="154"/>
      <c r="G119" s="155"/>
      <c r="H119" s="49"/>
      <c r="I119" s="48">
        <v>20.9</v>
      </c>
      <c r="J119" s="50">
        <v>4.7E-2</v>
      </c>
      <c r="K119" s="48">
        <f>IF(J119&gt;0,ROUND(44.01*J119/12.011,3),IF(H119&gt;0,ROUND(H119*0.008229665,3),ROUND(44.01*0.047/12.011,3)))</f>
        <v>0.17199999999999999</v>
      </c>
      <c r="L119" s="87" t="s">
        <v>95</v>
      </c>
      <c r="M119" s="87" t="s">
        <v>95</v>
      </c>
      <c r="N119" s="57">
        <v>1.855</v>
      </c>
      <c r="O119" s="130"/>
      <c r="P119" s="130"/>
      <c r="Q119" s="130"/>
      <c r="R119" s="56" t="str">
        <f>IF(Q119&gt;0,ROUND(44.01*Q119/12.011,6),IF(SUM(O119,P119)&gt;0,ROUND(SUM(O119,P119)*0.008229665,6),"na"))</f>
        <v>na</v>
      </c>
      <c r="S119" s="273"/>
      <c r="T119" s="273"/>
      <c r="U119" s="47"/>
      <c r="V119" s="43">
        <f t="shared" ref="V119:V169" si="4">ROUND(IF($R119&lt;&gt;"na",$R119,$K119)*($F119-$G119),6)</f>
        <v>0</v>
      </c>
      <c r="W119" s="43"/>
      <c r="X119" s="273">
        <f t="shared" si="2"/>
        <v>0</v>
      </c>
      <c r="Y119" s="273"/>
      <c r="Z119" s="273">
        <f t="shared" si="3"/>
        <v>0</v>
      </c>
      <c r="AA119" s="273"/>
      <c r="AB119" s="43"/>
      <c r="AC119" s="44">
        <f t="shared" si="1"/>
        <v>0</v>
      </c>
      <c r="AD119" s="249"/>
    </row>
    <row r="120" spans="1:30" ht="15" x14ac:dyDescent="0.2">
      <c r="A120" s="35"/>
      <c r="B120" s="250" t="s">
        <v>195</v>
      </c>
      <c r="C120" s="209" t="s">
        <v>37</v>
      </c>
      <c r="D120" s="211" t="s">
        <v>27</v>
      </c>
      <c r="E120" s="199"/>
      <c r="F120" s="154"/>
      <c r="G120" s="155"/>
      <c r="H120" s="49"/>
      <c r="I120" s="48">
        <v>20.9</v>
      </c>
      <c r="J120" s="50">
        <v>4.7E-2</v>
      </c>
      <c r="K120" s="48">
        <f>IF(J120&gt;0,ROUND(44.01*J120/12.011,3),IF(H120&gt;0,ROUND(H120*0.008229665,3),ROUND(44.01*0.047/12.011,3)))</f>
        <v>0.17199999999999999</v>
      </c>
      <c r="L120" s="87" t="s">
        <v>95</v>
      </c>
      <c r="M120" s="87" t="s">
        <v>95</v>
      </c>
      <c r="N120" s="57">
        <v>1.855</v>
      </c>
      <c r="O120" s="130"/>
      <c r="P120" s="130"/>
      <c r="Q120" s="130"/>
      <c r="R120" s="56" t="str">
        <f>IF(Q120&gt;0,ROUND(44.01*Q120/12.011,6),IF(SUM(O120,P120)&gt;0,ROUND(SUM(O120,P120)*0.008229665,6),"na"))</f>
        <v>na</v>
      </c>
      <c r="S120" s="273"/>
      <c r="T120" s="273"/>
      <c r="U120" s="47"/>
      <c r="V120" s="43">
        <f t="shared" si="4"/>
        <v>0</v>
      </c>
      <c r="W120" s="43"/>
      <c r="X120" s="273">
        <f t="shared" si="2"/>
        <v>0</v>
      </c>
      <c r="Y120" s="273"/>
      <c r="Z120" s="273">
        <f t="shared" si="3"/>
        <v>0</v>
      </c>
      <c r="AA120" s="273"/>
      <c r="AB120" s="43"/>
      <c r="AC120" s="44">
        <f t="shared" si="1"/>
        <v>0</v>
      </c>
      <c r="AD120" s="249"/>
    </row>
    <row r="121" spans="1:30" ht="15" x14ac:dyDescent="0.2">
      <c r="A121" s="35"/>
      <c r="B121" s="250" t="s">
        <v>195</v>
      </c>
      <c r="C121" s="209" t="s">
        <v>38</v>
      </c>
      <c r="D121" s="211" t="s">
        <v>27</v>
      </c>
      <c r="E121" s="199"/>
      <c r="F121" s="154"/>
      <c r="G121" s="155"/>
      <c r="H121" s="49"/>
      <c r="I121" s="48">
        <v>20.9</v>
      </c>
      <c r="J121" s="50">
        <v>4.7E-2</v>
      </c>
      <c r="K121" s="48">
        <f>IF(J121&gt;0,ROUND(44.01*J121/12.011,3),IF(H121&gt;0,ROUND(H121*0.008229665,3),ROUND(44.01*0.047/12.011,3)))</f>
        <v>0.17199999999999999</v>
      </c>
      <c r="L121" s="87" t="s">
        <v>95</v>
      </c>
      <c r="M121" s="87" t="s">
        <v>95</v>
      </c>
      <c r="N121" s="57">
        <v>1.855</v>
      </c>
      <c r="O121" s="130"/>
      <c r="P121" s="130"/>
      <c r="Q121" s="130"/>
      <c r="R121" s="56" t="str">
        <f>IF(Q121&gt;0,ROUND(44.01*Q121/12.011,3),IF(SUM(O121,P121)&gt;0,ROUND(SUM(O121,P121)*0.008229665,3),"na"))</f>
        <v>na</v>
      </c>
      <c r="S121" s="273"/>
      <c r="T121" s="273"/>
      <c r="U121" s="47"/>
      <c r="V121" s="43">
        <f t="shared" si="4"/>
        <v>0</v>
      </c>
      <c r="W121" s="43"/>
      <c r="X121" s="273">
        <f t="shared" si="2"/>
        <v>0</v>
      </c>
      <c r="Y121" s="273"/>
      <c r="Z121" s="273">
        <f t="shared" si="3"/>
        <v>0</v>
      </c>
      <c r="AA121" s="273"/>
      <c r="AB121" s="43"/>
      <c r="AC121" s="44">
        <f t="shared" si="1"/>
        <v>0</v>
      </c>
      <c r="AD121" s="249"/>
    </row>
    <row r="122" spans="1:30" ht="15" x14ac:dyDescent="0.2">
      <c r="A122" s="35"/>
      <c r="B122" s="250" t="s">
        <v>195</v>
      </c>
      <c r="C122" s="209" t="s">
        <v>39</v>
      </c>
      <c r="D122" s="211" t="s">
        <v>27</v>
      </c>
      <c r="E122" s="199"/>
      <c r="F122" s="154"/>
      <c r="G122" s="155"/>
      <c r="H122" s="51"/>
      <c r="I122" s="50"/>
      <c r="J122" s="50">
        <v>5.0000000000000001E-3</v>
      </c>
      <c r="K122" s="48">
        <f>ROUND(IF(J122&gt;0,44.01*J122/12.011,44.01*0.005/12.011),3)</f>
        <v>1.7999999999999999E-2</v>
      </c>
      <c r="L122" s="87" t="s">
        <v>95</v>
      </c>
      <c r="M122" s="87" t="s">
        <v>95</v>
      </c>
      <c r="N122" s="57">
        <v>5.2</v>
      </c>
      <c r="O122" s="130"/>
      <c r="P122" s="130"/>
      <c r="Q122" s="130"/>
      <c r="R122" s="56" t="str">
        <f>IF(Q122&gt;0,ROUND(44.01*Q122/12.011,6),"na")</f>
        <v>na</v>
      </c>
      <c r="S122" s="273"/>
      <c r="T122" s="273"/>
      <c r="U122" s="47"/>
      <c r="V122" s="43">
        <f t="shared" si="4"/>
        <v>0</v>
      </c>
      <c r="W122" s="43"/>
      <c r="X122" s="273">
        <f t="shared" si="2"/>
        <v>0</v>
      </c>
      <c r="Y122" s="273"/>
      <c r="Z122" s="273">
        <f t="shared" si="3"/>
        <v>0</v>
      </c>
      <c r="AA122" s="273"/>
      <c r="AB122" s="43"/>
      <c r="AC122" s="44">
        <f t="shared" si="1"/>
        <v>0</v>
      </c>
      <c r="AD122" s="249"/>
    </row>
    <row r="123" spans="1:30" ht="15" x14ac:dyDescent="0.2">
      <c r="A123" s="35"/>
      <c r="B123" s="250" t="s">
        <v>195</v>
      </c>
      <c r="C123" s="209" t="s">
        <v>76</v>
      </c>
      <c r="D123" s="211" t="s">
        <v>27</v>
      </c>
      <c r="E123" s="199"/>
      <c r="F123" s="154"/>
      <c r="G123" s="155"/>
      <c r="H123" s="51"/>
      <c r="I123" s="50">
        <v>20.9</v>
      </c>
      <c r="J123" s="50">
        <v>4.7E-2</v>
      </c>
      <c r="K123" s="48">
        <f>IF(J123&gt;0,ROUND(44.01*J123/12.011,3),IF(H123&gt;0,ROUND(H123*0.008229665,3),ROUND(44.01*0.047/12.011,3)))</f>
        <v>0.17199999999999999</v>
      </c>
      <c r="L123" s="87" t="s">
        <v>95</v>
      </c>
      <c r="M123" s="87" t="s">
        <v>95</v>
      </c>
      <c r="N123" s="57">
        <v>1.855</v>
      </c>
      <c r="O123" s="130"/>
      <c r="P123" s="130"/>
      <c r="Q123" s="130"/>
      <c r="R123" s="56" t="str">
        <f>IF(Q123&gt;0,ROUND(44.01*Q123/12.011,3),IF(SUM(O123,P123)&gt;0,ROUND(SUM(O123,P123)*0.008229665,3),"na"))</f>
        <v>na</v>
      </c>
      <c r="S123" s="273"/>
      <c r="T123" s="273"/>
      <c r="U123" s="47"/>
      <c r="V123" s="43">
        <f t="shared" si="4"/>
        <v>0</v>
      </c>
      <c r="W123" s="43"/>
      <c r="X123" s="273">
        <f t="shared" si="2"/>
        <v>0</v>
      </c>
      <c r="Y123" s="273"/>
      <c r="Z123" s="273">
        <f t="shared" si="3"/>
        <v>0</v>
      </c>
      <c r="AA123" s="273"/>
      <c r="AB123" s="43"/>
      <c r="AC123" s="44">
        <f t="shared" si="1"/>
        <v>0</v>
      </c>
      <c r="AD123" s="249"/>
    </row>
    <row r="124" spans="1:30" ht="15" x14ac:dyDescent="0.2">
      <c r="A124" s="35"/>
      <c r="B124" s="250" t="s">
        <v>77</v>
      </c>
      <c r="C124" s="209" t="s">
        <v>77</v>
      </c>
      <c r="D124" s="211" t="s">
        <v>27</v>
      </c>
      <c r="E124" s="199"/>
      <c r="F124" s="154"/>
      <c r="G124" s="155"/>
      <c r="H124" s="51"/>
      <c r="I124" s="50">
        <v>15.6</v>
      </c>
      <c r="J124" s="50">
        <v>0.47599999999999998</v>
      </c>
      <c r="K124" s="48"/>
      <c r="L124" s="87">
        <v>4.6799999999999999E-4</v>
      </c>
      <c r="M124" s="87">
        <v>6.2000000000000003E-5</v>
      </c>
      <c r="N124" s="57">
        <v>0</v>
      </c>
      <c r="O124" s="130"/>
      <c r="P124" s="130"/>
      <c r="Q124" s="130"/>
      <c r="R124" s="48"/>
      <c r="S124" s="273"/>
      <c r="T124" s="273"/>
      <c r="U124" s="47"/>
      <c r="V124" s="43">
        <f t="shared" si="4"/>
        <v>0</v>
      </c>
      <c r="W124" s="43"/>
      <c r="X124" s="273">
        <f t="shared" si="2"/>
        <v>0</v>
      </c>
      <c r="Y124" s="273"/>
      <c r="Z124" s="273">
        <f t="shared" si="3"/>
        <v>0</v>
      </c>
      <c r="AA124" s="273"/>
      <c r="AB124" s="43"/>
      <c r="AC124" s="44">
        <f t="shared" si="1"/>
        <v>0</v>
      </c>
      <c r="AD124" s="249"/>
    </row>
    <row r="125" spans="1:30" ht="15" x14ac:dyDescent="0.2">
      <c r="A125" s="35"/>
      <c r="B125" s="250" t="s">
        <v>195</v>
      </c>
      <c r="C125" s="210" t="s">
        <v>40</v>
      </c>
      <c r="D125" s="211" t="s">
        <v>27</v>
      </c>
      <c r="E125" s="199"/>
      <c r="F125" s="154"/>
      <c r="G125" s="155"/>
      <c r="H125" s="51"/>
      <c r="I125" s="50">
        <v>14.1</v>
      </c>
      <c r="J125" s="50">
        <v>0.02</v>
      </c>
      <c r="K125" s="48">
        <f>ROUND(IF(J125&gt;0,44.01*J125/12.011,44.01*0.02/12.011),3)</f>
        <v>7.2999999999999995E-2</v>
      </c>
      <c r="L125" s="87" t="s">
        <v>95</v>
      </c>
      <c r="M125" s="87" t="s">
        <v>95</v>
      </c>
      <c r="N125" s="57">
        <v>0.78</v>
      </c>
      <c r="O125" s="130"/>
      <c r="P125" s="130"/>
      <c r="Q125" s="130"/>
      <c r="R125" s="56" t="str">
        <f t="shared" ref="R125:R154" si="5">IF(Q125&gt;0,ROUND(44.01*Q125/12.011,6),"na")</f>
        <v>na</v>
      </c>
      <c r="S125" s="273"/>
      <c r="T125" s="273"/>
      <c r="U125" s="47"/>
      <c r="V125" s="43">
        <f t="shared" si="4"/>
        <v>0</v>
      </c>
      <c r="W125" s="43"/>
      <c r="X125" s="273">
        <f t="shared" si="2"/>
        <v>0</v>
      </c>
      <c r="Y125" s="273"/>
      <c r="Z125" s="273">
        <f t="shared" si="3"/>
        <v>0</v>
      </c>
      <c r="AA125" s="273"/>
      <c r="AB125" s="43"/>
      <c r="AC125" s="44">
        <f t="shared" si="1"/>
        <v>0</v>
      </c>
      <c r="AD125" s="249"/>
    </row>
    <row r="126" spans="1:30" ht="15" x14ac:dyDescent="0.2">
      <c r="A126" s="35"/>
      <c r="B126" s="250" t="s">
        <v>195</v>
      </c>
      <c r="C126" s="210" t="s">
        <v>41</v>
      </c>
      <c r="D126" s="211" t="s">
        <v>27</v>
      </c>
      <c r="E126" s="199"/>
      <c r="F126" s="154"/>
      <c r="G126" s="155"/>
      <c r="H126" s="49"/>
      <c r="I126" s="48">
        <v>17.899999999999999</v>
      </c>
      <c r="J126" s="50">
        <v>0.02</v>
      </c>
      <c r="K126" s="48">
        <f>ROUND(IF(J126&gt;0,44.01*J126/12.011,44.01*0.02/12.011),3)</f>
        <v>7.2999999999999995E-2</v>
      </c>
      <c r="L126" s="87" t="s">
        <v>95</v>
      </c>
      <c r="M126" s="87" t="s">
        <v>95</v>
      </c>
      <c r="N126" s="57">
        <v>1.21</v>
      </c>
      <c r="O126" s="130"/>
      <c r="P126" s="130"/>
      <c r="Q126" s="130"/>
      <c r="R126" s="56" t="str">
        <f t="shared" si="5"/>
        <v>na</v>
      </c>
      <c r="S126" s="273"/>
      <c r="T126" s="273"/>
      <c r="U126" s="47"/>
      <c r="V126" s="43">
        <f t="shared" si="4"/>
        <v>0</v>
      </c>
      <c r="W126" s="43"/>
      <c r="X126" s="273">
        <f t="shared" si="2"/>
        <v>0</v>
      </c>
      <c r="Y126" s="273"/>
      <c r="Z126" s="273">
        <f t="shared" si="3"/>
        <v>0</v>
      </c>
      <c r="AA126" s="273"/>
      <c r="AB126" s="43"/>
      <c r="AC126" s="44">
        <f t="shared" si="1"/>
        <v>0</v>
      </c>
      <c r="AD126" s="249"/>
    </row>
    <row r="127" spans="1:30" ht="15" x14ac:dyDescent="0.2">
      <c r="A127" s="35"/>
      <c r="B127" s="250" t="s">
        <v>195</v>
      </c>
      <c r="C127" s="210" t="s">
        <v>65</v>
      </c>
      <c r="D127" s="211" t="s">
        <v>27</v>
      </c>
      <c r="E127" s="199"/>
      <c r="F127" s="154"/>
      <c r="G127" s="155"/>
      <c r="H127" s="49"/>
      <c r="I127" s="48">
        <v>14.1</v>
      </c>
      <c r="J127" s="50">
        <v>0.02</v>
      </c>
      <c r="K127" s="48">
        <f>ROUND(IF(J127&gt;0,44.01*J127/12.011,44.01*0.02/12.011),3)</f>
        <v>7.2999999999999995E-2</v>
      </c>
      <c r="L127" s="87" t="s">
        <v>95</v>
      </c>
      <c r="M127" s="87" t="s">
        <v>95</v>
      </c>
      <c r="N127" s="57">
        <v>0.78</v>
      </c>
      <c r="O127" s="130"/>
      <c r="P127" s="130"/>
      <c r="Q127" s="130"/>
      <c r="R127" s="56" t="str">
        <f t="shared" si="5"/>
        <v>na</v>
      </c>
      <c r="S127" s="273"/>
      <c r="T127" s="273"/>
      <c r="U127" s="47"/>
      <c r="V127" s="43">
        <f>ROUND(IF($R127&lt;&gt;"na",$R127,$K127)*($F127-$G127),6)</f>
        <v>0</v>
      </c>
      <c r="W127" s="43"/>
      <c r="X127" s="273">
        <f t="shared" si="2"/>
        <v>0</v>
      </c>
      <c r="Y127" s="273"/>
      <c r="Z127" s="273">
        <f t="shared" si="3"/>
        <v>0</v>
      </c>
      <c r="AA127" s="273"/>
      <c r="AB127" s="43"/>
      <c r="AC127" s="44">
        <f t="shared" si="1"/>
        <v>0</v>
      </c>
      <c r="AD127" s="249"/>
    </row>
    <row r="128" spans="1:30" ht="15" x14ac:dyDescent="0.2">
      <c r="A128" s="35"/>
      <c r="B128" s="250" t="s">
        <v>318</v>
      </c>
      <c r="C128" s="210" t="s">
        <v>322</v>
      </c>
      <c r="D128" s="211" t="s">
        <v>27</v>
      </c>
      <c r="E128" s="384">
        <f>F63</f>
        <v>0</v>
      </c>
      <c r="F128" s="384">
        <f>G63</f>
        <v>0</v>
      </c>
      <c r="G128" s="384">
        <f>H63</f>
        <v>0</v>
      </c>
      <c r="H128" s="49"/>
      <c r="I128" s="48"/>
      <c r="J128" s="50"/>
      <c r="K128" s="48"/>
      <c r="L128" s="87"/>
      <c r="M128" s="87"/>
      <c r="N128" s="57"/>
      <c r="O128" s="130"/>
      <c r="P128" s="130"/>
      <c r="Q128" s="130"/>
      <c r="R128" s="56" t="str">
        <f t="shared" si="5"/>
        <v>na</v>
      </c>
      <c r="S128" s="273"/>
      <c r="T128" s="273"/>
      <c r="U128" s="47"/>
      <c r="V128" s="43">
        <f t="shared" ref="V128:V131" si="6">ROUND(IF($R128&lt;&gt;"na",$R128,$K128)*($F128-$G128),6)</f>
        <v>0</v>
      </c>
      <c r="W128" s="43"/>
      <c r="X128" s="273">
        <f t="shared" si="2"/>
        <v>0</v>
      </c>
      <c r="Y128" s="273"/>
      <c r="Z128" s="273">
        <f t="shared" si="3"/>
        <v>0</v>
      </c>
      <c r="AA128" s="273"/>
      <c r="AB128" s="43"/>
      <c r="AC128" s="44">
        <f t="shared" si="1"/>
        <v>0</v>
      </c>
      <c r="AD128" s="249"/>
    </row>
    <row r="129" spans="1:30" ht="15" x14ac:dyDescent="0.2">
      <c r="A129" s="35"/>
      <c r="B129" s="250" t="s">
        <v>318</v>
      </c>
      <c r="C129" s="210" t="s">
        <v>319</v>
      </c>
      <c r="D129" s="211" t="s">
        <v>27</v>
      </c>
      <c r="E129" s="384">
        <f t="shared" ref="E129:G131" si="7">F54</f>
        <v>0</v>
      </c>
      <c r="F129" s="384">
        <f t="shared" si="7"/>
        <v>0</v>
      </c>
      <c r="G129" s="384">
        <f t="shared" si="7"/>
        <v>0</v>
      </c>
      <c r="H129" s="49"/>
      <c r="I129" s="48"/>
      <c r="J129" s="50"/>
      <c r="K129" s="48"/>
      <c r="L129" s="87"/>
      <c r="M129" s="87"/>
      <c r="N129" s="57"/>
      <c r="O129" s="130"/>
      <c r="P129" s="130"/>
      <c r="Q129" s="130"/>
      <c r="R129" s="56" t="str">
        <f t="shared" si="5"/>
        <v>na</v>
      </c>
      <c r="S129" s="273"/>
      <c r="T129" s="273"/>
      <c r="U129" s="47"/>
      <c r="V129" s="43">
        <f t="shared" si="6"/>
        <v>0</v>
      </c>
      <c r="W129" s="43"/>
      <c r="X129" s="273">
        <f t="shared" si="2"/>
        <v>0</v>
      </c>
      <c r="Y129" s="273"/>
      <c r="Z129" s="273">
        <f t="shared" si="3"/>
        <v>0</v>
      </c>
      <c r="AA129" s="273"/>
      <c r="AB129" s="43"/>
      <c r="AC129" s="44">
        <f t="shared" si="1"/>
        <v>0</v>
      </c>
      <c r="AD129" s="249"/>
    </row>
    <row r="130" spans="1:30" ht="15" x14ac:dyDescent="0.2">
      <c r="A130" s="35"/>
      <c r="B130" s="250" t="s">
        <v>318</v>
      </c>
      <c r="C130" s="209" t="s">
        <v>320</v>
      </c>
      <c r="D130" s="211" t="s">
        <v>27</v>
      </c>
      <c r="E130" s="384">
        <f t="shared" si="7"/>
        <v>0</v>
      </c>
      <c r="F130" s="384">
        <f t="shared" si="7"/>
        <v>0</v>
      </c>
      <c r="G130" s="384">
        <f t="shared" si="7"/>
        <v>0</v>
      </c>
      <c r="H130" s="49"/>
      <c r="I130" s="48"/>
      <c r="J130" s="50"/>
      <c r="K130" s="48"/>
      <c r="L130" s="87"/>
      <c r="M130" s="87"/>
      <c r="N130" s="57"/>
      <c r="O130" s="130"/>
      <c r="P130" s="130"/>
      <c r="Q130" s="130"/>
      <c r="R130" s="56" t="str">
        <f t="shared" si="5"/>
        <v>na</v>
      </c>
      <c r="S130" s="273"/>
      <c r="T130" s="273"/>
      <c r="U130" s="47"/>
      <c r="V130" s="43">
        <f t="shared" si="6"/>
        <v>0</v>
      </c>
      <c r="W130" s="43"/>
      <c r="X130" s="273">
        <f t="shared" si="2"/>
        <v>0</v>
      </c>
      <c r="Y130" s="273"/>
      <c r="Z130" s="273">
        <f t="shared" si="3"/>
        <v>0</v>
      </c>
      <c r="AA130" s="273"/>
      <c r="AB130" s="43"/>
      <c r="AC130" s="44">
        <f t="shared" si="1"/>
        <v>0</v>
      </c>
      <c r="AD130" s="249"/>
    </row>
    <row r="131" spans="1:30" ht="15" x14ac:dyDescent="0.2">
      <c r="A131" s="35"/>
      <c r="B131" s="250" t="s">
        <v>318</v>
      </c>
      <c r="C131" s="209" t="s">
        <v>321</v>
      </c>
      <c r="D131" s="211" t="s">
        <v>27</v>
      </c>
      <c r="E131" s="384">
        <f t="shared" si="7"/>
        <v>0</v>
      </c>
      <c r="F131" s="384">
        <f t="shared" si="7"/>
        <v>0</v>
      </c>
      <c r="G131" s="384">
        <f t="shared" si="7"/>
        <v>0</v>
      </c>
      <c r="H131" s="49"/>
      <c r="I131" s="48"/>
      <c r="J131" s="50"/>
      <c r="K131" s="48"/>
      <c r="L131" s="87"/>
      <c r="M131" s="87"/>
      <c r="N131" s="57"/>
      <c r="O131" s="130"/>
      <c r="P131" s="130"/>
      <c r="Q131" s="130"/>
      <c r="R131" s="56" t="str">
        <f t="shared" si="5"/>
        <v>na</v>
      </c>
      <c r="S131" s="273"/>
      <c r="T131" s="273"/>
      <c r="U131" s="47"/>
      <c r="V131" s="43">
        <f t="shared" si="6"/>
        <v>0</v>
      </c>
      <c r="W131" s="43"/>
      <c r="X131" s="273">
        <f t="shared" si="2"/>
        <v>0</v>
      </c>
      <c r="Y131" s="273"/>
      <c r="Z131" s="273">
        <f t="shared" si="3"/>
        <v>0</v>
      </c>
      <c r="AA131" s="273"/>
      <c r="AB131" s="43"/>
      <c r="AC131" s="44">
        <f t="shared" si="1"/>
        <v>0</v>
      </c>
      <c r="AD131" s="249"/>
    </row>
    <row r="132" spans="1:30" ht="15" x14ac:dyDescent="0.2">
      <c r="A132" s="35"/>
      <c r="B132" s="250" t="s">
        <v>196</v>
      </c>
      <c r="C132" s="210" t="s">
        <v>42</v>
      </c>
      <c r="D132" s="211" t="s">
        <v>27</v>
      </c>
      <c r="E132" s="199"/>
      <c r="F132" s="154"/>
      <c r="G132" s="155"/>
      <c r="H132" s="49"/>
      <c r="I132" s="48"/>
      <c r="J132" s="50">
        <v>0.01</v>
      </c>
      <c r="K132" s="48">
        <f>ROUND(IF(J132&gt;0,44.01*J132/12.011,44.01*0.01/12.011),3)</f>
        <v>3.6999999999999998E-2</v>
      </c>
      <c r="L132" s="87" t="s">
        <v>95</v>
      </c>
      <c r="M132" s="87" t="s">
        <v>95</v>
      </c>
      <c r="N132" s="57">
        <v>8.6761599999999994</v>
      </c>
      <c r="O132" s="130"/>
      <c r="P132" s="130"/>
      <c r="Q132" s="130"/>
      <c r="R132" s="56" t="str">
        <f t="shared" si="5"/>
        <v>na</v>
      </c>
      <c r="S132" s="273"/>
      <c r="T132" s="273"/>
      <c r="U132" s="47"/>
      <c r="V132" s="43">
        <f t="shared" si="4"/>
        <v>0</v>
      </c>
      <c r="W132" s="43"/>
      <c r="X132" s="273">
        <f t="shared" si="2"/>
        <v>0</v>
      </c>
      <c r="Y132" s="273"/>
      <c r="Z132" s="273">
        <f t="shared" si="3"/>
        <v>0</v>
      </c>
      <c r="AA132" s="273"/>
      <c r="AB132" s="43"/>
      <c r="AC132" s="44">
        <f t="shared" si="1"/>
        <v>0</v>
      </c>
      <c r="AD132" s="249"/>
    </row>
    <row r="133" spans="1:30" ht="15" x14ac:dyDescent="0.2">
      <c r="A133" s="35"/>
      <c r="B133" s="250" t="s">
        <v>196</v>
      </c>
      <c r="C133" s="210" t="s">
        <v>43</v>
      </c>
      <c r="D133" s="211" t="s">
        <v>27</v>
      </c>
      <c r="E133" s="199"/>
      <c r="F133" s="154"/>
      <c r="G133" s="155"/>
      <c r="H133" s="49"/>
      <c r="I133" s="48"/>
      <c r="J133" s="50">
        <v>1E-3</v>
      </c>
      <c r="K133" s="48">
        <f>ROUND(IF(J133&gt;0,44.01*J133/12.011,44.01*0.001/12.011),3)</f>
        <v>4.0000000000000001E-3</v>
      </c>
      <c r="L133" s="87" t="s">
        <v>95</v>
      </c>
      <c r="M133" s="87" t="s">
        <v>95</v>
      </c>
      <c r="N133" s="57">
        <f>ROUND(26337*0.77/1000,3)</f>
        <v>20.279</v>
      </c>
      <c r="O133" s="130"/>
      <c r="P133" s="130"/>
      <c r="Q133" s="130"/>
      <c r="R133" s="56" t="str">
        <f t="shared" si="5"/>
        <v>na</v>
      </c>
      <c r="S133" s="273"/>
      <c r="T133" s="273"/>
      <c r="U133" s="47"/>
      <c r="V133" s="43">
        <f t="shared" si="4"/>
        <v>0</v>
      </c>
      <c r="W133" s="43"/>
      <c r="X133" s="273">
        <f t="shared" si="2"/>
        <v>0</v>
      </c>
      <c r="Y133" s="273"/>
      <c r="Z133" s="273">
        <f t="shared" si="3"/>
        <v>0</v>
      </c>
      <c r="AA133" s="273"/>
      <c r="AB133" s="43"/>
      <c r="AC133" s="44">
        <f t="shared" si="1"/>
        <v>0</v>
      </c>
      <c r="AD133" s="249"/>
    </row>
    <row r="134" spans="1:30" ht="15" x14ac:dyDescent="0.2">
      <c r="A134" s="35"/>
      <c r="B134" s="250" t="s">
        <v>196</v>
      </c>
      <c r="C134" s="210" t="s">
        <v>44</v>
      </c>
      <c r="D134" s="211" t="s">
        <v>27</v>
      </c>
      <c r="E134" s="199"/>
      <c r="F134" s="154"/>
      <c r="G134" s="155"/>
      <c r="H134" s="49"/>
      <c r="I134" s="48"/>
      <c r="J134" s="50">
        <v>1E-3</v>
      </c>
      <c r="K134" s="48">
        <f>ROUND(IF(J134&gt;0,44.01*J134/12.011,44.01*0.001/12.011),3)</f>
        <v>4.0000000000000001E-3</v>
      </c>
      <c r="L134" s="87" t="s">
        <v>95</v>
      </c>
      <c r="M134" s="87" t="s">
        <v>95</v>
      </c>
      <c r="N134" s="57">
        <f>ROUND(13675*0.993/1000,3)</f>
        <v>13.579000000000001</v>
      </c>
      <c r="O134" s="130"/>
      <c r="P134" s="130"/>
      <c r="Q134" s="130"/>
      <c r="R134" s="56" t="str">
        <f t="shared" si="5"/>
        <v>na</v>
      </c>
      <c r="S134" s="273"/>
      <c r="T134" s="273"/>
      <c r="U134" s="47"/>
      <c r="V134" s="43">
        <f t="shared" si="4"/>
        <v>0</v>
      </c>
      <c r="W134" s="43"/>
      <c r="X134" s="273">
        <f t="shared" si="2"/>
        <v>0</v>
      </c>
      <c r="Y134" s="273"/>
      <c r="Z134" s="273">
        <f t="shared" si="3"/>
        <v>0</v>
      </c>
      <c r="AA134" s="273"/>
      <c r="AB134" s="43"/>
      <c r="AC134" s="44">
        <f t="shared" si="1"/>
        <v>0</v>
      </c>
      <c r="AD134" s="249"/>
    </row>
    <row r="135" spans="1:30" ht="15" x14ac:dyDescent="0.2">
      <c r="A135" s="35"/>
      <c r="B135" s="250" t="s">
        <v>196</v>
      </c>
      <c r="C135" s="210" t="s">
        <v>45</v>
      </c>
      <c r="D135" s="211" t="s">
        <v>27</v>
      </c>
      <c r="E135" s="199"/>
      <c r="F135" s="154"/>
      <c r="G135" s="155"/>
      <c r="H135" s="49"/>
      <c r="I135" s="48"/>
      <c r="J135" s="50">
        <v>7.4999999999999997E-2</v>
      </c>
      <c r="K135" s="48">
        <f>ROUND(IF(J135&gt;0,44.01*J135/12.011,44.01*0.075/12.011),3)</f>
        <v>0.27500000000000002</v>
      </c>
      <c r="L135" s="87" t="s">
        <v>95</v>
      </c>
      <c r="M135" s="87" t="s">
        <v>95</v>
      </c>
      <c r="N135" s="57">
        <f>ROUND(10596.9*0.565/1000,3)</f>
        <v>5.9870000000000001</v>
      </c>
      <c r="O135" s="130"/>
      <c r="P135" s="130"/>
      <c r="Q135" s="130"/>
      <c r="R135" s="56" t="str">
        <f t="shared" si="5"/>
        <v>na</v>
      </c>
      <c r="S135" s="273"/>
      <c r="T135" s="273"/>
      <c r="U135" s="47"/>
      <c r="V135" s="43">
        <f t="shared" si="4"/>
        <v>0</v>
      </c>
      <c r="W135" s="43"/>
      <c r="X135" s="273">
        <f t="shared" si="2"/>
        <v>0</v>
      </c>
      <c r="Y135" s="273"/>
      <c r="Z135" s="273">
        <f t="shared" si="3"/>
        <v>0</v>
      </c>
      <c r="AA135" s="273"/>
      <c r="AB135" s="43"/>
      <c r="AC135" s="44">
        <f t="shared" si="1"/>
        <v>0</v>
      </c>
      <c r="AD135" s="249"/>
    </row>
    <row r="136" spans="1:30" ht="15" x14ac:dyDescent="0.2">
      <c r="A136" s="35"/>
      <c r="B136" s="250" t="s">
        <v>196</v>
      </c>
      <c r="C136" s="209" t="s">
        <v>46</v>
      </c>
      <c r="D136" s="211" t="s">
        <v>27</v>
      </c>
      <c r="E136" s="199"/>
      <c r="F136" s="154"/>
      <c r="G136" s="155"/>
      <c r="H136" s="49"/>
      <c r="I136" s="48"/>
      <c r="J136" s="50">
        <v>1E-3</v>
      </c>
      <c r="K136" s="48">
        <f>ROUND(IF(J136&gt;0,44.01*J136/12.011,44.01*0.001/12.011),3)</f>
        <v>4.0000000000000001E-3</v>
      </c>
      <c r="L136" s="87" t="s">
        <v>95</v>
      </c>
      <c r="M136" s="87" t="s">
        <v>95</v>
      </c>
      <c r="N136" s="57">
        <v>6.5</v>
      </c>
      <c r="O136" s="130"/>
      <c r="P136" s="130"/>
      <c r="Q136" s="130"/>
      <c r="R136" s="56" t="str">
        <f t="shared" si="5"/>
        <v>na</v>
      </c>
      <c r="S136" s="273"/>
      <c r="T136" s="273"/>
      <c r="U136" s="47"/>
      <c r="V136" s="43">
        <f t="shared" si="4"/>
        <v>0</v>
      </c>
      <c r="W136" s="43"/>
      <c r="X136" s="273">
        <f t="shared" si="2"/>
        <v>0</v>
      </c>
      <c r="Y136" s="273"/>
      <c r="Z136" s="273">
        <f t="shared" si="3"/>
        <v>0</v>
      </c>
      <c r="AA136" s="273"/>
      <c r="AB136" s="43"/>
      <c r="AC136" s="44">
        <f t="shared" si="1"/>
        <v>0</v>
      </c>
      <c r="AD136" s="249"/>
    </row>
    <row r="137" spans="1:30" ht="15" x14ac:dyDescent="0.2">
      <c r="A137" s="35"/>
      <c r="B137" s="250" t="s">
        <v>196</v>
      </c>
      <c r="C137" s="209" t="s">
        <v>69</v>
      </c>
      <c r="D137" s="211" t="s">
        <v>27</v>
      </c>
      <c r="E137" s="199"/>
      <c r="F137" s="154"/>
      <c r="G137" s="155"/>
      <c r="H137" s="49"/>
      <c r="I137" s="48"/>
      <c r="J137" s="50">
        <v>5.0000000000000001E-3</v>
      </c>
      <c r="K137" s="48">
        <f>ROUND(IF(J137&gt;0,44.01*J137/12.011,44.01*0.005/12.011),3)</f>
        <v>1.7999999999999999E-2</v>
      </c>
      <c r="L137" s="87" t="s">
        <v>95</v>
      </c>
      <c r="M137" s="87" t="s">
        <v>95</v>
      </c>
      <c r="N137" s="57">
        <v>8.5</v>
      </c>
      <c r="O137" s="130"/>
      <c r="P137" s="130"/>
      <c r="Q137" s="130"/>
      <c r="R137" s="56" t="str">
        <f t="shared" si="5"/>
        <v>na</v>
      </c>
      <c r="S137" s="273"/>
      <c r="T137" s="273"/>
      <c r="U137" s="47"/>
      <c r="V137" s="43">
        <f t="shared" si="4"/>
        <v>0</v>
      </c>
      <c r="W137" s="43"/>
      <c r="X137" s="273">
        <f t="shared" si="2"/>
        <v>0</v>
      </c>
      <c r="Y137" s="273"/>
      <c r="Z137" s="273">
        <f t="shared" si="3"/>
        <v>0</v>
      </c>
      <c r="AA137" s="273"/>
      <c r="AB137" s="43"/>
      <c r="AC137" s="44">
        <f t="shared" si="1"/>
        <v>0</v>
      </c>
      <c r="AD137" s="249"/>
    </row>
    <row r="138" spans="1:30" ht="15" x14ac:dyDescent="0.2">
      <c r="A138" s="35"/>
      <c r="B138" s="250" t="s">
        <v>196</v>
      </c>
      <c r="C138" s="210" t="s">
        <v>47</v>
      </c>
      <c r="D138" s="211" t="s">
        <v>27</v>
      </c>
      <c r="E138" s="199"/>
      <c r="F138" s="154"/>
      <c r="G138" s="155"/>
      <c r="H138" s="51"/>
      <c r="I138" s="50"/>
      <c r="J138" s="50">
        <v>0.05</v>
      </c>
      <c r="K138" s="48">
        <f>ROUND(IF(J138&gt;0,44.01*J138/12.011,44.01*0.05/12.011),3)</f>
        <v>0.183</v>
      </c>
      <c r="L138" s="87" t="s">
        <v>95</v>
      </c>
      <c r="M138" s="87" t="s">
        <v>95</v>
      </c>
      <c r="N138" s="57">
        <v>2.7890000000000001</v>
      </c>
      <c r="O138" s="130"/>
      <c r="P138" s="130"/>
      <c r="Q138" s="130"/>
      <c r="R138" s="56" t="str">
        <f t="shared" si="5"/>
        <v>na</v>
      </c>
      <c r="S138" s="273"/>
      <c r="T138" s="273"/>
      <c r="U138" s="47"/>
      <c r="V138" s="43">
        <f t="shared" si="4"/>
        <v>0</v>
      </c>
      <c r="W138" s="43"/>
      <c r="X138" s="273">
        <f t="shared" si="2"/>
        <v>0</v>
      </c>
      <c r="Y138" s="273"/>
      <c r="Z138" s="273">
        <f t="shared" si="3"/>
        <v>0</v>
      </c>
      <c r="AA138" s="273"/>
      <c r="AB138" s="43"/>
      <c r="AC138" s="44">
        <f t="shared" si="1"/>
        <v>0</v>
      </c>
      <c r="AD138" s="249"/>
    </row>
    <row r="139" spans="1:30" ht="15" x14ac:dyDescent="0.2">
      <c r="A139" s="35"/>
      <c r="B139" s="250" t="s">
        <v>196</v>
      </c>
      <c r="C139" s="210" t="s">
        <v>67</v>
      </c>
      <c r="D139" s="211" t="s">
        <v>27</v>
      </c>
      <c r="E139" s="199"/>
      <c r="F139" s="154"/>
      <c r="G139" s="155"/>
      <c r="H139" s="51"/>
      <c r="I139" s="50"/>
      <c r="J139" s="50">
        <v>1E-3</v>
      </c>
      <c r="K139" s="48">
        <f>ROUND(IF(J139&gt;0,44.01*J139/12.011,44.01*0.001/12.011),3)</f>
        <v>4.0000000000000001E-3</v>
      </c>
      <c r="L139" s="87" t="s">
        <v>95</v>
      </c>
      <c r="M139" s="87" t="s">
        <v>95</v>
      </c>
      <c r="N139" s="57">
        <v>4</v>
      </c>
      <c r="O139" s="130"/>
      <c r="P139" s="130"/>
      <c r="Q139" s="130"/>
      <c r="R139" s="56" t="str">
        <f t="shared" si="5"/>
        <v>na</v>
      </c>
      <c r="S139" s="273"/>
      <c r="T139" s="273"/>
      <c r="U139" s="47"/>
      <c r="V139" s="43">
        <f t="shared" si="4"/>
        <v>0</v>
      </c>
      <c r="W139" s="43"/>
      <c r="X139" s="273">
        <f t="shared" si="2"/>
        <v>0</v>
      </c>
      <c r="Y139" s="273"/>
      <c r="Z139" s="273">
        <f t="shared" si="3"/>
        <v>0</v>
      </c>
      <c r="AA139" s="273"/>
      <c r="AB139" s="43"/>
      <c r="AC139" s="44">
        <f t="shared" si="1"/>
        <v>0</v>
      </c>
      <c r="AD139" s="249"/>
    </row>
    <row r="140" spans="1:30" ht="15" x14ac:dyDescent="0.2">
      <c r="A140" s="35"/>
      <c r="B140" s="250" t="s">
        <v>196</v>
      </c>
      <c r="C140" s="210" t="s">
        <v>68</v>
      </c>
      <c r="D140" s="211" t="s">
        <v>27</v>
      </c>
      <c r="E140" s="199"/>
      <c r="F140" s="154"/>
      <c r="G140" s="155"/>
      <c r="H140" s="51"/>
      <c r="I140" s="50"/>
      <c r="J140" s="50">
        <v>5.0000000000000001E-3</v>
      </c>
      <c r="K140" s="48">
        <f>ROUND(IF(J140&gt;0,44.01*J140/12.011,44.01*0.005/12.011),3)</f>
        <v>1.7999999999999999E-2</v>
      </c>
      <c r="L140" s="87" t="s">
        <v>95</v>
      </c>
      <c r="M140" s="87" t="s">
        <v>95</v>
      </c>
      <c r="N140" s="57">
        <v>2.8</v>
      </c>
      <c r="O140" s="130"/>
      <c r="P140" s="130"/>
      <c r="Q140" s="130"/>
      <c r="R140" s="56" t="str">
        <f t="shared" si="5"/>
        <v>na</v>
      </c>
      <c r="S140" s="273"/>
      <c r="T140" s="273"/>
      <c r="U140" s="47"/>
      <c r="V140" s="43">
        <f t="shared" si="4"/>
        <v>0</v>
      </c>
      <c r="W140" s="43"/>
      <c r="X140" s="273">
        <f t="shared" si="2"/>
        <v>0</v>
      </c>
      <c r="Y140" s="273"/>
      <c r="Z140" s="273">
        <f t="shared" si="3"/>
        <v>0</v>
      </c>
      <c r="AA140" s="273"/>
      <c r="AB140" s="43"/>
      <c r="AC140" s="44">
        <f t="shared" si="1"/>
        <v>0</v>
      </c>
      <c r="AD140" s="249"/>
    </row>
    <row r="141" spans="1:30" ht="15" x14ac:dyDescent="0.2">
      <c r="A141" s="35"/>
      <c r="B141" s="250" t="s">
        <v>196</v>
      </c>
      <c r="C141" s="210" t="s">
        <v>87</v>
      </c>
      <c r="D141" s="211" t="s">
        <v>27</v>
      </c>
      <c r="E141" s="199"/>
      <c r="F141" s="154"/>
      <c r="G141" s="155"/>
      <c r="H141" s="51"/>
      <c r="I141" s="50"/>
      <c r="J141" s="50">
        <v>1E-3</v>
      </c>
      <c r="K141" s="48">
        <f>ROUND(IF(J141&gt;0,44.01*J141/12.011,44.01*0.001/12.011),3)</f>
        <v>4.0000000000000001E-3</v>
      </c>
      <c r="L141" s="87" t="s">
        <v>95</v>
      </c>
      <c r="M141" s="87" t="s">
        <v>95</v>
      </c>
      <c r="N141" s="57">
        <v>5</v>
      </c>
      <c r="O141" s="130"/>
      <c r="P141" s="130"/>
      <c r="Q141" s="130"/>
      <c r="R141" s="56" t="str">
        <f t="shared" si="5"/>
        <v>na</v>
      </c>
      <c r="S141" s="273"/>
      <c r="T141" s="273"/>
      <c r="U141" s="47"/>
      <c r="V141" s="43">
        <f t="shared" si="4"/>
        <v>0</v>
      </c>
      <c r="W141" s="43"/>
      <c r="X141" s="273">
        <f t="shared" si="2"/>
        <v>0</v>
      </c>
      <c r="Y141" s="273"/>
      <c r="Z141" s="273">
        <f t="shared" si="3"/>
        <v>0</v>
      </c>
      <c r="AA141" s="273"/>
      <c r="AB141" s="43"/>
      <c r="AC141" s="44">
        <f t="shared" si="1"/>
        <v>0</v>
      </c>
      <c r="AD141" s="249"/>
    </row>
    <row r="142" spans="1:30" ht="15" x14ac:dyDescent="0.2">
      <c r="A142" s="188"/>
      <c r="B142" s="250" t="s">
        <v>196</v>
      </c>
      <c r="C142" s="210" t="s">
        <v>143</v>
      </c>
      <c r="D142" s="211" t="s">
        <v>27</v>
      </c>
      <c r="E142" s="199"/>
      <c r="F142" s="154"/>
      <c r="G142" s="155"/>
      <c r="H142" s="51"/>
      <c r="I142" s="50"/>
      <c r="J142" s="50"/>
      <c r="K142" s="48"/>
      <c r="L142" s="87"/>
      <c r="M142" s="87"/>
      <c r="N142" s="57">
        <v>16.5</v>
      </c>
      <c r="O142" s="130"/>
      <c r="P142" s="130"/>
      <c r="Q142" s="130"/>
      <c r="R142" s="56" t="str">
        <f t="shared" si="5"/>
        <v>na</v>
      </c>
      <c r="S142" s="273"/>
      <c r="T142" s="273"/>
      <c r="U142" s="47"/>
      <c r="V142" s="43">
        <f t="shared" si="4"/>
        <v>0</v>
      </c>
      <c r="W142" s="43"/>
      <c r="X142" s="273">
        <f t="shared" si="2"/>
        <v>0</v>
      </c>
      <c r="Y142" s="273"/>
      <c r="Z142" s="273">
        <f t="shared" si="3"/>
        <v>0</v>
      </c>
      <c r="AA142" s="273"/>
      <c r="AB142" s="43"/>
      <c r="AC142" s="44">
        <f t="shared" si="1"/>
        <v>0</v>
      </c>
      <c r="AD142" s="249"/>
    </row>
    <row r="143" spans="1:30" ht="15" x14ac:dyDescent="0.2">
      <c r="A143" s="188"/>
      <c r="B143" s="250" t="s">
        <v>196</v>
      </c>
      <c r="C143" s="210" t="s">
        <v>144</v>
      </c>
      <c r="D143" s="211" t="s">
        <v>27</v>
      </c>
      <c r="E143" s="199"/>
      <c r="F143" s="154"/>
      <c r="G143" s="155"/>
      <c r="H143" s="51"/>
      <c r="I143" s="50"/>
      <c r="J143" s="50"/>
      <c r="K143" s="48"/>
      <c r="L143" s="87"/>
      <c r="M143" s="87"/>
      <c r="N143" s="57">
        <v>4.0999999999999996</v>
      </c>
      <c r="O143" s="130"/>
      <c r="P143" s="130"/>
      <c r="Q143" s="130"/>
      <c r="R143" s="56" t="str">
        <f t="shared" si="5"/>
        <v>na</v>
      </c>
      <c r="S143" s="273"/>
      <c r="T143" s="273"/>
      <c r="U143" s="47"/>
      <c r="V143" s="43">
        <f t="shared" si="4"/>
        <v>0</v>
      </c>
      <c r="W143" s="43"/>
      <c r="X143" s="273">
        <f t="shared" si="2"/>
        <v>0</v>
      </c>
      <c r="Y143" s="273"/>
      <c r="Z143" s="273">
        <f t="shared" si="3"/>
        <v>0</v>
      </c>
      <c r="AA143" s="273"/>
      <c r="AB143" s="43"/>
      <c r="AC143" s="44">
        <f t="shared" si="1"/>
        <v>0</v>
      </c>
      <c r="AD143" s="249"/>
    </row>
    <row r="144" spans="1:30" ht="15" x14ac:dyDescent="0.2">
      <c r="A144" s="188"/>
      <c r="B144" s="250" t="s">
        <v>196</v>
      </c>
      <c r="C144" s="210" t="s">
        <v>145</v>
      </c>
      <c r="D144" s="211" t="s">
        <v>27</v>
      </c>
      <c r="E144" s="199"/>
      <c r="F144" s="154"/>
      <c r="G144" s="155"/>
      <c r="H144" s="51"/>
      <c r="I144" s="50"/>
      <c r="J144" s="50"/>
      <c r="K144" s="48"/>
      <c r="L144" s="87"/>
      <c r="M144" s="87"/>
      <c r="N144" s="57" t="s">
        <v>185</v>
      </c>
      <c r="O144" s="130"/>
      <c r="P144" s="130"/>
      <c r="Q144" s="130"/>
      <c r="R144" s="56" t="str">
        <f t="shared" si="5"/>
        <v>na</v>
      </c>
      <c r="S144" s="273"/>
      <c r="T144" s="273"/>
      <c r="U144" s="47"/>
      <c r="V144" s="43">
        <f t="shared" si="4"/>
        <v>0</v>
      </c>
      <c r="W144" s="43"/>
      <c r="X144" s="273">
        <f t="shared" si="2"/>
        <v>0</v>
      </c>
      <c r="Y144" s="273"/>
      <c r="Z144" s="273">
        <f t="shared" si="3"/>
        <v>0</v>
      </c>
      <c r="AA144" s="273"/>
      <c r="AB144" s="43"/>
      <c r="AC144" s="44">
        <f>ROUND(IF($U144&lt;&gt;"na",$U144,$N144)*($F144-$G144),6)</f>
        <v>0</v>
      </c>
      <c r="AD144" s="249"/>
    </row>
    <row r="145" spans="1:30" ht="15" x14ac:dyDescent="0.2">
      <c r="A145" s="188"/>
      <c r="B145" s="250" t="s">
        <v>196</v>
      </c>
      <c r="C145" s="210" t="s">
        <v>146</v>
      </c>
      <c r="D145" s="211" t="s">
        <v>27</v>
      </c>
      <c r="E145" s="199"/>
      <c r="F145" s="154"/>
      <c r="G145" s="155"/>
      <c r="H145" s="51"/>
      <c r="I145" s="50"/>
      <c r="J145" s="50"/>
      <c r="K145" s="48"/>
      <c r="L145" s="87"/>
      <c r="M145" s="87"/>
      <c r="N145" s="57" t="s">
        <v>185</v>
      </c>
      <c r="O145" s="130"/>
      <c r="P145" s="130"/>
      <c r="Q145" s="130"/>
      <c r="R145" s="56" t="str">
        <f t="shared" si="5"/>
        <v>na</v>
      </c>
      <c r="S145" s="273"/>
      <c r="T145" s="273"/>
      <c r="U145" s="47"/>
      <c r="V145" s="43">
        <f t="shared" si="4"/>
        <v>0</v>
      </c>
      <c r="W145" s="43"/>
      <c r="X145" s="273">
        <f t="shared" si="2"/>
        <v>0</v>
      </c>
      <c r="Y145" s="273"/>
      <c r="Z145" s="273">
        <f t="shared" si="3"/>
        <v>0</v>
      </c>
      <c r="AA145" s="273"/>
      <c r="AB145" s="43"/>
      <c r="AC145" s="44">
        <f>ROUND(IF($U145&lt;&gt;"na",$U145,$N145)*($F145-$G145),6)</f>
        <v>0</v>
      </c>
      <c r="AD145" s="249"/>
    </row>
    <row r="146" spans="1:30" ht="15" x14ac:dyDescent="0.2">
      <c r="A146" s="188"/>
      <c r="B146" s="250" t="s">
        <v>196</v>
      </c>
      <c r="C146" s="210" t="s">
        <v>147</v>
      </c>
      <c r="D146" s="211" t="s">
        <v>27</v>
      </c>
      <c r="E146" s="199"/>
      <c r="F146" s="154"/>
      <c r="G146" s="155"/>
      <c r="H146" s="51"/>
      <c r="I146" s="50"/>
      <c r="J146" s="50"/>
      <c r="K146" s="48"/>
      <c r="L146" s="87"/>
      <c r="M146" s="87"/>
      <c r="N146" s="57" t="s">
        <v>185</v>
      </c>
      <c r="O146" s="130"/>
      <c r="P146" s="130"/>
      <c r="Q146" s="130"/>
      <c r="R146" s="56" t="str">
        <f t="shared" si="5"/>
        <v>na</v>
      </c>
      <c r="S146" s="273"/>
      <c r="T146" s="273"/>
      <c r="U146" s="47"/>
      <c r="V146" s="43">
        <f t="shared" si="4"/>
        <v>0</v>
      </c>
      <c r="W146" s="43"/>
      <c r="X146" s="273">
        <f t="shared" si="2"/>
        <v>0</v>
      </c>
      <c r="Y146" s="273"/>
      <c r="Z146" s="273">
        <f t="shared" si="3"/>
        <v>0</v>
      </c>
      <c r="AA146" s="273"/>
      <c r="AB146" s="43"/>
      <c r="AC146" s="44">
        <f>ROUND(IF($U146&lt;&gt;"na",$U146,$N146)*($F146-$G146),6)</f>
        <v>0</v>
      </c>
      <c r="AD146" s="249"/>
    </row>
    <row r="147" spans="1:30" ht="15" x14ac:dyDescent="0.2">
      <c r="A147" s="188"/>
      <c r="B147" s="250" t="s">
        <v>196</v>
      </c>
      <c r="C147" s="210" t="s">
        <v>148</v>
      </c>
      <c r="D147" s="211" t="s">
        <v>27</v>
      </c>
      <c r="E147" s="199"/>
      <c r="F147" s="154"/>
      <c r="G147" s="155"/>
      <c r="H147" s="51"/>
      <c r="I147" s="50"/>
      <c r="J147" s="50"/>
      <c r="K147" s="48"/>
      <c r="L147" s="87"/>
      <c r="M147" s="87"/>
      <c r="N147" s="57">
        <v>6</v>
      </c>
      <c r="O147" s="130"/>
      <c r="P147" s="130"/>
      <c r="Q147" s="130"/>
      <c r="R147" s="56" t="str">
        <f t="shared" si="5"/>
        <v>na</v>
      </c>
      <c r="S147" s="273"/>
      <c r="T147" s="273"/>
      <c r="U147" s="47"/>
      <c r="V147" s="43">
        <f t="shared" si="4"/>
        <v>0</v>
      </c>
      <c r="W147" s="43"/>
      <c r="X147" s="273">
        <f t="shared" si="2"/>
        <v>0</v>
      </c>
      <c r="Y147" s="273"/>
      <c r="Z147" s="273">
        <f t="shared" si="3"/>
        <v>0</v>
      </c>
      <c r="AA147" s="273"/>
      <c r="AB147" s="43"/>
      <c r="AC147" s="44">
        <f>ROUND(IF($U147&lt;&gt;"",$U147,$N147)*($F147-$G147),6)</f>
        <v>0</v>
      </c>
      <c r="AD147" s="249"/>
    </row>
    <row r="148" spans="1:30" ht="15" x14ac:dyDescent="0.2">
      <c r="A148" s="188"/>
      <c r="B148" s="250" t="s">
        <v>196</v>
      </c>
      <c r="C148" s="210" t="s">
        <v>149</v>
      </c>
      <c r="D148" s="211" t="s">
        <v>27</v>
      </c>
      <c r="E148" s="199"/>
      <c r="F148" s="154"/>
      <c r="G148" s="155"/>
      <c r="H148" s="51"/>
      <c r="I148" s="50"/>
      <c r="J148" s="50"/>
      <c r="K148" s="48"/>
      <c r="L148" s="87"/>
      <c r="M148" s="87"/>
      <c r="N148" s="57">
        <v>6.6319999999999997</v>
      </c>
      <c r="O148" s="130"/>
      <c r="P148" s="130"/>
      <c r="Q148" s="130"/>
      <c r="R148" s="56" t="str">
        <f t="shared" si="5"/>
        <v>na</v>
      </c>
      <c r="S148" s="273"/>
      <c r="T148" s="273"/>
      <c r="U148" s="47"/>
      <c r="V148" s="43">
        <f t="shared" si="4"/>
        <v>0</v>
      </c>
      <c r="W148" s="43"/>
      <c r="X148" s="273">
        <f t="shared" si="2"/>
        <v>0</v>
      </c>
      <c r="Y148" s="273"/>
      <c r="Z148" s="273">
        <f t="shared" si="3"/>
        <v>0</v>
      </c>
      <c r="AA148" s="273"/>
      <c r="AB148" s="43"/>
      <c r="AC148" s="44">
        <f>ROUND(IF($U148&lt;&gt;"",$U148,$N148)*($F148-$G148),6)</f>
        <v>0</v>
      </c>
      <c r="AD148" s="249"/>
    </row>
    <row r="149" spans="1:30" ht="15" x14ac:dyDescent="0.2">
      <c r="A149" s="188"/>
      <c r="B149" s="250" t="s">
        <v>196</v>
      </c>
      <c r="C149" s="210" t="s">
        <v>150</v>
      </c>
      <c r="D149" s="211" t="s">
        <v>27</v>
      </c>
      <c r="E149" s="199"/>
      <c r="F149" s="154"/>
      <c r="G149" s="155"/>
      <c r="H149" s="51"/>
      <c r="I149" s="50"/>
      <c r="J149" s="50"/>
      <c r="K149" s="48"/>
      <c r="L149" s="87"/>
      <c r="M149" s="87"/>
      <c r="N149" s="57">
        <v>16.5</v>
      </c>
      <c r="O149" s="130"/>
      <c r="P149" s="130"/>
      <c r="Q149" s="130"/>
      <c r="R149" s="56" t="str">
        <f t="shared" si="5"/>
        <v>na</v>
      </c>
      <c r="S149" s="273"/>
      <c r="T149" s="273"/>
      <c r="U149" s="47"/>
      <c r="V149" s="43">
        <f t="shared" si="4"/>
        <v>0</v>
      </c>
      <c r="W149" s="43"/>
      <c r="X149" s="273">
        <f t="shared" si="2"/>
        <v>0</v>
      </c>
      <c r="Y149" s="273"/>
      <c r="Z149" s="273">
        <f t="shared" si="3"/>
        <v>0</v>
      </c>
      <c r="AA149" s="273"/>
      <c r="AB149" s="43"/>
      <c r="AC149" s="44">
        <f>ROUND(IF($U149&lt;&gt;"",$U149,$N149)*($F149-$G149),6)</f>
        <v>0</v>
      </c>
      <c r="AD149" s="249"/>
    </row>
    <row r="150" spans="1:30" ht="15" x14ac:dyDescent="0.2">
      <c r="A150" s="188"/>
      <c r="B150" s="250" t="s">
        <v>196</v>
      </c>
      <c r="C150" s="210" t="s">
        <v>151</v>
      </c>
      <c r="D150" s="211" t="s">
        <v>27</v>
      </c>
      <c r="E150" s="199"/>
      <c r="F150" s="154"/>
      <c r="G150" s="155"/>
      <c r="H150" s="51"/>
      <c r="I150" s="50"/>
      <c r="J150" s="50"/>
      <c r="K150" s="48"/>
      <c r="L150" s="87"/>
      <c r="M150" s="87"/>
      <c r="N150" s="57">
        <v>3.8180000000000001</v>
      </c>
      <c r="O150" s="130"/>
      <c r="P150" s="130"/>
      <c r="Q150" s="130"/>
      <c r="R150" s="56" t="str">
        <f t="shared" si="5"/>
        <v>na</v>
      </c>
      <c r="S150" s="273"/>
      <c r="T150" s="273"/>
      <c r="U150" s="47"/>
      <c r="V150" s="43">
        <f t="shared" si="4"/>
        <v>0</v>
      </c>
      <c r="W150" s="43"/>
      <c r="X150" s="273">
        <f t="shared" si="2"/>
        <v>0</v>
      </c>
      <c r="Y150" s="273"/>
      <c r="Z150" s="273">
        <f t="shared" si="3"/>
        <v>0</v>
      </c>
      <c r="AA150" s="273"/>
      <c r="AB150" s="43"/>
      <c r="AC150" s="44">
        <f>ROUND(IF($U150&lt;&gt;"",$U150,$N150)*($F150-$G150),6)</f>
        <v>0</v>
      </c>
      <c r="AD150" s="249"/>
    </row>
    <row r="151" spans="1:30" ht="15" x14ac:dyDescent="0.2">
      <c r="A151" s="188"/>
      <c r="B151" s="250" t="s">
        <v>193</v>
      </c>
      <c r="C151" s="210" t="s">
        <v>152</v>
      </c>
      <c r="D151" s="211" t="s">
        <v>27</v>
      </c>
      <c r="E151" s="199"/>
      <c r="F151" s="154"/>
      <c r="G151" s="155"/>
      <c r="H151" s="51"/>
      <c r="I151" s="50"/>
      <c r="J151" s="50"/>
      <c r="K151" s="48"/>
      <c r="L151" s="87"/>
      <c r="M151" s="87"/>
      <c r="N151" s="57" t="s">
        <v>185</v>
      </c>
      <c r="O151" s="130"/>
      <c r="P151" s="130"/>
      <c r="Q151" s="130"/>
      <c r="R151" s="56" t="str">
        <f t="shared" si="5"/>
        <v>na</v>
      </c>
      <c r="S151" s="273"/>
      <c r="T151" s="273"/>
      <c r="U151" s="47"/>
      <c r="V151" s="43">
        <f t="shared" si="4"/>
        <v>0</v>
      </c>
      <c r="W151" s="43"/>
      <c r="X151" s="273">
        <f t="shared" si="2"/>
        <v>0</v>
      </c>
      <c r="Y151" s="273"/>
      <c r="Z151" s="273">
        <f t="shared" si="3"/>
        <v>0</v>
      </c>
      <c r="AA151" s="273"/>
      <c r="AB151" s="43"/>
      <c r="AC151" s="44">
        <f>ROUND(IF($U151&lt;&gt;"na",$U151,$N151)*($F151-$G151),6)</f>
        <v>0</v>
      </c>
      <c r="AD151" s="249"/>
    </row>
    <row r="152" spans="1:30" ht="15" x14ac:dyDescent="0.2">
      <c r="A152" s="188"/>
      <c r="B152" s="250" t="s">
        <v>196</v>
      </c>
      <c r="C152" s="210" t="s">
        <v>153</v>
      </c>
      <c r="D152" s="211" t="s">
        <v>27</v>
      </c>
      <c r="E152" s="199"/>
      <c r="F152" s="154"/>
      <c r="G152" s="155"/>
      <c r="H152" s="51"/>
      <c r="I152" s="50"/>
      <c r="J152" s="50"/>
      <c r="K152" s="48"/>
      <c r="L152" s="87"/>
      <c r="M152" s="87"/>
      <c r="N152" s="57">
        <v>28.2</v>
      </c>
      <c r="O152" s="130"/>
      <c r="P152" s="130"/>
      <c r="Q152" s="130"/>
      <c r="R152" s="56" t="str">
        <f t="shared" si="5"/>
        <v>na</v>
      </c>
      <c r="S152" s="273"/>
      <c r="T152" s="273"/>
      <c r="U152" s="47"/>
      <c r="V152" s="43">
        <f t="shared" si="4"/>
        <v>0</v>
      </c>
      <c r="W152" s="43"/>
      <c r="X152" s="273">
        <f t="shared" si="2"/>
        <v>0</v>
      </c>
      <c r="Y152" s="273"/>
      <c r="Z152" s="273">
        <f t="shared" si="3"/>
        <v>0</v>
      </c>
      <c r="AA152" s="273"/>
      <c r="AB152" s="43"/>
      <c r="AC152" s="44">
        <f>ROUND(IF($U152&lt;&gt;"",$U152,$N152)*($F152-$G152),6)</f>
        <v>0</v>
      </c>
      <c r="AD152" s="249"/>
    </row>
    <row r="153" spans="1:30" ht="15" x14ac:dyDescent="0.2">
      <c r="A153" s="188"/>
      <c r="B153" s="250" t="s">
        <v>196</v>
      </c>
      <c r="C153" s="210" t="s">
        <v>154</v>
      </c>
      <c r="D153" s="211" t="s">
        <v>27</v>
      </c>
      <c r="E153" s="199"/>
      <c r="F153" s="154"/>
      <c r="G153" s="155"/>
      <c r="H153" s="51"/>
      <c r="I153" s="50"/>
      <c r="J153" s="50"/>
      <c r="K153" s="48"/>
      <c r="L153" s="87"/>
      <c r="M153" s="87"/>
      <c r="N153" s="57">
        <v>5.09</v>
      </c>
      <c r="O153" s="130"/>
      <c r="P153" s="130"/>
      <c r="Q153" s="130"/>
      <c r="R153" s="56" t="str">
        <f t="shared" si="5"/>
        <v>na</v>
      </c>
      <c r="S153" s="273"/>
      <c r="T153" s="273"/>
      <c r="U153" s="47"/>
      <c r="V153" s="43">
        <f t="shared" si="4"/>
        <v>0</v>
      </c>
      <c r="W153" s="43"/>
      <c r="X153" s="273">
        <f t="shared" si="2"/>
        <v>0</v>
      </c>
      <c r="Y153" s="273"/>
      <c r="Z153" s="273">
        <f t="shared" si="3"/>
        <v>0</v>
      </c>
      <c r="AA153" s="273"/>
      <c r="AB153" s="43"/>
      <c r="AC153" s="44">
        <f>ROUND(IF($U153&lt;&gt;"",$U153,$N153)*($F153-$G153),6)</f>
        <v>0</v>
      </c>
      <c r="AD153" s="249"/>
    </row>
    <row r="154" spans="1:30" ht="15" x14ac:dyDescent="0.2">
      <c r="A154" s="188"/>
      <c r="B154" s="250" t="s">
        <v>193</v>
      </c>
      <c r="C154" s="210" t="s">
        <v>155</v>
      </c>
      <c r="D154" s="211" t="s">
        <v>27</v>
      </c>
      <c r="E154" s="199"/>
      <c r="F154" s="154"/>
      <c r="G154" s="155"/>
      <c r="H154" s="51"/>
      <c r="I154" s="50"/>
      <c r="J154" s="50"/>
      <c r="K154" s="48"/>
      <c r="L154" s="87"/>
      <c r="M154" s="87"/>
      <c r="N154" s="57" t="s">
        <v>185</v>
      </c>
      <c r="O154" s="130"/>
      <c r="P154" s="130"/>
      <c r="Q154" s="130"/>
      <c r="R154" s="56" t="str">
        <f t="shared" si="5"/>
        <v>na</v>
      </c>
      <c r="S154" s="273"/>
      <c r="T154" s="273"/>
      <c r="U154" s="47"/>
      <c r="V154" s="43">
        <f t="shared" si="4"/>
        <v>0</v>
      </c>
      <c r="W154" s="43"/>
      <c r="X154" s="273">
        <f t="shared" si="2"/>
        <v>0</v>
      </c>
      <c r="Y154" s="273"/>
      <c r="Z154" s="273">
        <f t="shared" si="3"/>
        <v>0</v>
      </c>
      <c r="AA154" s="273"/>
      <c r="AB154" s="43"/>
      <c r="AC154" s="44">
        <f>ROUND(IF($U154&lt;&gt;"na",$U154,$N154)*($F154-$G154),6)</f>
        <v>0</v>
      </c>
      <c r="AD154" s="249"/>
    </row>
    <row r="155" spans="1:30" ht="15" x14ac:dyDescent="0.2">
      <c r="A155" s="35"/>
      <c r="B155" s="250" t="s">
        <v>48</v>
      </c>
      <c r="C155" s="210" t="s">
        <v>48</v>
      </c>
      <c r="D155" s="211" t="s">
        <v>49</v>
      </c>
      <c r="E155" s="199"/>
      <c r="F155" s="154"/>
      <c r="G155" s="155"/>
      <c r="H155" s="51"/>
      <c r="I155" s="50">
        <v>9.8000000000000007</v>
      </c>
      <c r="J155" s="58"/>
      <c r="K155" s="58"/>
      <c r="L155" s="88" t="s">
        <v>95</v>
      </c>
      <c r="M155" s="88" t="s">
        <v>95</v>
      </c>
      <c r="N155" s="60">
        <v>0.504</v>
      </c>
      <c r="O155" s="130"/>
      <c r="P155" s="130"/>
      <c r="Q155" s="130"/>
      <c r="R155" s="58"/>
      <c r="S155" s="273"/>
      <c r="T155" s="273"/>
      <c r="U155" s="47">
        <v>0.79800000000000004</v>
      </c>
      <c r="V155" s="43">
        <f t="shared" si="4"/>
        <v>0</v>
      </c>
      <c r="W155" s="43"/>
      <c r="X155" s="273">
        <f t="shared" si="2"/>
        <v>0</v>
      </c>
      <c r="Y155" s="273"/>
      <c r="Z155" s="273">
        <f t="shared" si="3"/>
        <v>0</v>
      </c>
      <c r="AA155" s="273"/>
      <c r="AB155" s="92">
        <f>ROUND($U155*($F155-$G155),6)</f>
        <v>0</v>
      </c>
      <c r="AC155" s="44"/>
      <c r="AD155" s="249"/>
    </row>
    <row r="156" spans="1:30" ht="15" x14ac:dyDescent="0.2">
      <c r="A156" s="35"/>
      <c r="B156" s="250" t="s">
        <v>198</v>
      </c>
      <c r="C156" s="210" t="s">
        <v>50</v>
      </c>
      <c r="D156" s="211" t="s">
        <v>27</v>
      </c>
      <c r="E156" s="199"/>
      <c r="F156" s="154"/>
      <c r="G156" s="155"/>
      <c r="H156" s="49"/>
      <c r="I156" s="48">
        <v>3.8</v>
      </c>
      <c r="J156" s="58"/>
      <c r="K156" s="58"/>
      <c r="L156" s="88" t="s">
        <v>95</v>
      </c>
      <c r="M156" s="88" t="s">
        <v>95</v>
      </c>
      <c r="N156" s="57">
        <f>ROUND(IF(I156&gt;0,I156,3.8)*0.0514,3)</f>
        <v>0.19500000000000001</v>
      </c>
      <c r="O156" s="130"/>
      <c r="P156" s="130"/>
      <c r="Q156" s="130"/>
      <c r="R156" s="58"/>
      <c r="S156" s="273"/>
      <c r="T156" s="273"/>
      <c r="U156" s="56">
        <f>ROUND(IF(P156&gt;0,P156,I156)*IF(U155&gt;0,U155,N155)/IF(P155&gt;0,P155,I155),3)</f>
        <v>0.309</v>
      </c>
      <c r="V156" s="43">
        <f t="shared" si="4"/>
        <v>0</v>
      </c>
      <c r="W156" s="43"/>
      <c r="X156" s="273">
        <f t="shared" si="2"/>
        <v>0</v>
      </c>
      <c r="Y156" s="273"/>
      <c r="Z156" s="273">
        <f t="shared" si="3"/>
        <v>0</v>
      </c>
      <c r="AA156" s="273"/>
      <c r="AB156" s="92">
        <f>ROUND($U156*($F156-$G156),6)</f>
        <v>0</v>
      </c>
      <c r="AC156" s="44"/>
      <c r="AD156" s="249"/>
    </row>
    <row r="157" spans="1:30" ht="17" x14ac:dyDescent="0.2">
      <c r="A157" s="35"/>
      <c r="B157" s="250" t="s">
        <v>199</v>
      </c>
      <c r="C157" s="210" t="s">
        <v>51</v>
      </c>
      <c r="D157" s="211" t="s">
        <v>115</v>
      </c>
      <c r="E157" s="199"/>
      <c r="F157" s="154"/>
      <c r="G157" s="155"/>
      <c r="H157" s="49"/>
      <c r="I157" s="48">
        <v>6.9</v>
      </c>
      <c r="J157" s="58"/>
      <c r="K157" s="58"/>
      <c r="L157" s="88" t="s">
        <v>95</v>
      </c>
      <c r="M157" s="88" t="s">
        <v>95</v>
      </c>
      <c r="N157" s="57">
        <f>ROUND(IF(I157&gt;0,I157,6.9)*0.0514,3)</f>
        <v>0.35499999999999998</v>
      </c>
      <c r="O157" s="130"/>
      <c r="P157" s="130"/>
      <c r="Q157" s="130"/>
      <c r="R157" s="58"/>
      <c r="S157" s="273"/>
      <c r="T157" s="273"/>
      <c r="U157" s="56">
        <f>ROUND(IF(P157&gt;0,P157,I157)*IF(U155&gt;0,U155,N155)/IF(P155&gt;0,P155,I155),3)</f>
        <v>0.56200000000000006</v>
      </c>
      <c r="V157" s="43">
        <f t="shared" si="4"/>
        <v>0</v>
      </c>
      <c r="W157" s="43"/>
      <c r="X157" s="273">
        <f t="shared" si="2"/>
        <v>0</v>
      </c>
      <c r="Y157" s="273"/>
      <c r="Z157" s="273">
        <f t="shared" si="3"/>
        <v>0</v>
      </c>
      <c r="AA157" s="273"/>
      <c r="AB157" s="43"/>
      <c r="AC157" s="129">
        <f>ROUND($U157*($F157-$G157),6)</f>
        <v>0</v>
      </c>
      <c r="AD157" s="249"/>
    </row>
    <row r="158" spans="1:30" ht="17" x14ac:dyDescent="0.2">
      <c r="A158" s="35"/>
      <c r="B158" s="250" t="s">
        <v>199</v>
      </c>
      <c r="C158" s="210" t="s">
        <v>52</v>
      </c>
      <c r="D158" s="211" t="s">
        <v>115</v>
      </c>
      <c r="E158" s="199"/>
      <c r="F158" s="154"/>
      <c r="G158" s="155"/>
      <c r="H158" s="49"/>
      <c r="I158" s="48">
        <v>2</v>
      </c>
      <c r="J158" s="58"/>
      <c r="K158" s="48"/>
      <c r="L158" s="87" t="s">
        <v>95</v>
      </c>
      <c r="M158" s="87" t="s">
        <v>95</v>
      </c>
      <c r="N158" s="57">
        <f>ROUND(IF(I158&gt;0,I158,2)*0.0514,3)</f>
        <v>0.10299999999999999</v>
      </c>
      <c r="O158" s="130"/>
      <c r="P158" s="130"/>
      <c r="Q158" s="130"/>
      <c r="R158" s="48"/>
      <c r="S158" s="273"/>
      <c r="T158" s="273"/>
      <c r="U158" s="56">
        <f>ROUND(IF(P158&gt;0,P158,I158)*IF(U155&gt;0,U155,N155)/IF(P155&gt;0,P155,I155),3)</f>
        <v>0.16300000000000001</v>
      </c>
      <c r="V158" s="43">
        <f t="shared" si="4"/>
        <v>0</v>
      </c>
      <c r="W158" s="43"/>
      <c r="X158" s="273">
        <f t="shared" ref="X158:X173" si="8">IFERROR(ROUND(IF($S158&lt;&gt;"",$S158,$L158)*($E158+$F158-$G158),6),0)</f>
        <v>0</v>
      </c>
      <c r="Y158" s="273"/>
      <c r="Z158" s="273">
        <f t="shared" ref="Z158:Z173" si="9">IFERROR(ROUND(IF($T158&lt;&gt;"",$T158,$M158)*($E158+$F158-$G158),6),0)</f>
        <v>0</v>
      </c>
      <c r="AA158" s="273"/>
      <c r="AB158" s="43"/>
      <c r="AC158" s="129">
        <f>ROUND($U158*($F158-$G158),6)</f>
        <v>0</v>
      </c>
      <c r="AD158" s="249"/>
    </row>
    <row r="159" spans="1:30" ht="17" x14ac:dyDescent="0.2">
      <c r="A159" s="35"/>
      <c r="B159" s="250" t="s">
        <v>199</v>
      </c>
      <c r="C159" s="210" t="s">
        <v>53</v>
      </c>
      <c r="D159" s="211" t="s">
        <v>115</v>
      </c>
      <c r="E159" s="199"/>
      <c r="F159" s="154"/>
      <c r="G159" s="155"/>
      <c r="H159" s="49"/>
      <c r="I159" s="48">
        <v>2</v>
      </c>
      <c r="J159" s="58"/>
      <c r="K159" s="48"/>
      <c r="L159" s="87" t="s">
        <v>95</v>
      </c>
      <c r="M159" s="87" t="s">
        <v>95</v>
      </c>
      <c r="N159" s="57">
        <f>ROUND(IF(I159&gt;0,I159,2)*0.0514,3)</f>
        <v>0.10299999999999999</v>
      </c>
      <c r="O159" s="130"/>
      <c r="P159" s="130"/>
      <c r="Q159" s="130"/>
      <c r="R159" s="48"/>
      <c r="S159" s="273"/>
      <c r="T159" s="273"/>
      <c r="U159" s="56">
        <f>ROUND(IF(P159&gt;0,P159,I159)*IF(U155&gt;0,U155,N155)/IF(P155&gt;0,P155,I155),3)</f>
        <v>0.16300000000000001</v>
      </c>
      <c r="V159" s="43">
        <f t="shared" si="4"/>
        <v>0</v>
      </c>
      <c r="W159" s="43"/>
      <c r="X159" s="273">
        <f t="shared" si="8"/>
        <v>0</v>
      </c>
      <c r="Y159" s="273"/>
      <c r="Z159" s="273">
        <f t="shared" si="9"/>
        <v>0</v>
      </c>
      <c r="AA159" s="273"/>
      <c r="AB159" s="43"/>
      <c r="AC159" s="129">
        <f>ROUND($U159*($F159-$G159),6)</f>
        <v>0</v>
      </c>
      <c r="AD159" s="249"/>
    </row>
    <row r="160" spans="1:30" ht="17" x14ac:dyDescent="0.2">
      <c r="A160" s="35"/>
      <c r="B160" s="250" t="s">
        <v>198</v>
      </c>
      <c r="C160" s="210" t="s">
        <v>63</v>
      </c>
      <c r="D160" s="211" t="s">
        <v>115</v>
      </c>
      <c r="E160" s="384">
        <f>F64</f>
        <v>0</v>
      </c>
      <c r="F160" s="154"/>
      <c r="G160" s="155"/>
      <c r="H160" s="51"/>
      <c r="I160" s="50">
        <v>19</v>
      </c>
      <c r="J160" s="50">
        <f>ROUND(0.836*12.011/44.01,3)</f>
        <v>0.22800000000000001</v>
      </c>
      <c r="K160" s="48">
        <f>ROUND(IF(J160&gt;0,44.01*J160/12.011,IF(H160&gt;0, H160,19)*0.044),3)</f>
        <v>0.83499999999999996</v>
      </c>
      <c r="L160" s="87">
        <v>1.9000000000000001E-5</v>
      </c>
      <c r="M160" s="87">
        <v>1.9999999999999999E-6</v>
      </c>
      <c r="N160" s="57">
        <f>ROUND(IF(I160&gt;0,I160,19)*IF(N155&gt;0,N155,0.504)/IF(I155&gt;0,I155,9.8),3)</f>
        <v>0.97699999999999998</v>
      </c>
      <c r="O160" s="130"/>
      <c r="P160" s="130"/>
      <c r="Q160" s="130"/>
      <c r="R160" s="56" t="str">
        <f>IF(Q160&gt;0,ROUND(44.01*Q160/12.011,6),IF(SUM(O160,P160)&gt;0, ROUND(SUM(O160,P160)*0.044,6),"na"))</f>
        <v>na</v>
      </c>
      <c r="S160" s="273"/>
      <c r="T160" s="273"/>
      <c r="U160" s="56">
        <f>ROUND(IF(P160&gt;0,P160,I160)*IF(U155&gt;0,U155,N155)/IF(P155&gt;0,P155,I155),3)</f>
        <v>1.5469999999999999</v>
      </c>
      <c r="V160" s="43">
        <f t="shared" si="4"/>
        <v>0</v>
      </c>
      <c r="W160" s="43">
        <f>ROUND(IF($R160&lt;&gt;"na",-$R160,-$K160)*($F160-$G160),6)</f>
        <v>0</v>
      </c>
      <c r="X160" s="273">
        <f t="shared" si="8"/>
        <v>0</v>
      </c>
      <c r="Y160" s="273">
        <f>IFERROR(ROUND(IF($S160&lt;&gt;"",-$S160,-$L160)*($E160+$F160-$G160),6),0)</f>
        <v>0</v>
      </c>
      <c r="Z160" s="273">
        <f t="shared" si="9"/>
        <v>0</v>
      </c>
      <c r="AA160" s="273">
        <f>IFERROR(ROUND(IF($T160&lt;&gt;"",-$T160,-$M160)*($E160+$F160-$G160),6),0)</f>
        <v>0</v>
      </c>
      <c r="AB160" s="92">
        <f>ROUND($U160*($F160-$G160),6)</f>
        <v>0</v>
      </c>
      <c r="AC160" s="44"/>
      <c r="AD160" s="249"/>
    </row>
    <row r="161" spans="1:33" ht="17" x14ac:dyDescent="0.2">
      <c r="A161" s="35"/>
      <c r="B161" s="250" t="s">
        <v>198</v>
      </c>
      <c r="C161" s="210" t="s">
        <v>54</v>
      </c>
      <c r="D161" s="211" t="s">
        <v>115</v>
      </c>
      <c r="E161" s="384">
        <f>F65</f>
        <v>0</v>
      </c>
      <c r="F161" s="154"/>
      <c r="G161" s="155"/>
      <c r="H161" s="51"/>
      <c r="I161" s="50">
        <v>3.3</v>
      </c>
      <c r="J161" s="50">
        <f>ROUND(0.891*12.011/44.01,3)</f>
        <v>0.24299999999999999</v>
      </c>
      <c r="K161" s="48">
        <f>ROUND(IF(J161&gt;0,44.01*J161/12.011,IF(H161&gt;0,H161,3.3)*0.27),3)</f>
        <v>0.89</v>
      </c>
      <c r="L161" s="87">
        <v>3.0000000000000001E-6</v>
      </c>
      <c r="M161" s="87">
        <v>9.9999999999999995E-7</v>
      </c>
      <c r="N161" s="57">
        <f>ROUND(IF(I161&gt;0,I161,3.3)*IF(N155&gt;0,N155,0.504)/IF(I155&gt;0,I155,9.8),3)</f>
        <v>0.17</v>
      </c>
      <c r="O161" s="130"/>
      <c r="P161" s="130"/>
      <c r="Q161" s="130"/>
      <c r="R161" s="56" t="str">
        <f>IF(Q161&gt;0,ROUND(44.01*Q161/12.011,6),IF(SUM(O161,P161)&gt;0,ROUND(SUM(O161,P161)*0.27,6),"na"))</f>
        <v>na</v>
      </c>
      <c r="S161" s="273"/>
      <c r="T161" s="273"/>
      <c r="U161" s="56">
        <f>ROUND(IF(P161&gt;0,P161,I161)*IF(U155&gt;0,U155,N155)/IF(P155&gt;0,P155,I155),3)</f>
        <v>0.26900000000000002</v>
      </c>
      <c r="V161" s="43">
        <f t="shared" si="4"/>
        <v>0</v>
      </c>
      <c r="W161" s="43">
        <f>ROUND(IF($R161&lt;&gt;"na",-$R161,-$K161)*($F161-$G161),6)</f>
        <v>0</v>
      </c>
      <c r="X161" s="273">
        <f t="shared" si="8"/>
        <v>0</v>
      </c>
      <c r="Y161" s="273">
        <f t="shared" ref="Y161:Y162" si="10">IFERROR(ROUND(IF($S161&lt;&gt;"",-$S161,-$L161)*($E161+$F161-$G161),6),0)</f>
        <v>0</v>
      </c>
      <c r="Z161" s="273">
        <f t="shared" si="9"/>
        <v>0</v>
      </c>
      <c r="AA161" s="273">
        <f t="shared" ref="AA161:AA162" si="11">IFERROR(ROUND(IF($T161&lt;&gt;"",-$T161,-$M161)*($E161+$F161-$G161),6),0)</f>
        <v>0</v>
      </c>
      <c r="AB161" s="92">
        <f>ROUND($U161*($F161-$G161),6)</f>
        <v>0</v>
      </c>
      <c r="AC161" s="44"/>
      <c r="AD161" s="249"/>
    </row>
    <row r="162" spans="1:33" ht="17" x14ac:dyDescent="0.2">
      <c r="A162" s="35"/>
      <c r="B162" s="250" t="s">
        <v>198</v>
      </c>
      <c r="C162" s="210" t="s">
        <v>55</v>
      </c>
      <c r="D162" s="211" t="s">
        <v>115</v>
      </c>
      <c r="E162" s="384">
        <f>F66</f>
        <v>0</v>
      </c>
      <c r="F162" s="154"/>
      <c r="G162" s="155"/>
      <c r="H162" s="51"/>
      <c r="I162" s="50">
        <v>8.4</v>
      </c>
      <c r="J162" s="50">
        <f>ROUND(1.512*12.011/44.01,3)</f>
        <v>0.41299999999999998</v>
      </c>
      <c r="K162" s="48">
        <f>ROUND(IF(J162&gt;0,44.01*J162/12.011,IF(H162&gt;0, H162,8.4)*0.18),3)</f>
        <v>1.5129999999999999</v>
      </c>
      <c r="L162" s="87">
        <v>7.9999999999999996E-6</v>
      </c>
      <c r="M162" s="87">
        <v>9.9999999999999995E-7</v>
      </c>
      <c r="N162" s="57">
        <f>ROUND(IF(I162&gt;0,I162,8.4)*IF(N155&gt;0,N155,0.504)/IF(I155&gt;0,I155,9.8),3)</f>
        <v>0.432</v>
      </c>
      <c r="O162" s="130"/>
      <c r="P162" s="130"/>
      <c r="Q162" s="130"/>
      <c r="R162" s="56" t="str">
        <f>IF(Q162&gt;0,ROUND(44.01*Q162/12.011,6),IF(SUM(O162,P162)&gt;0, ROUND(SUM(O162,P162)*0.18,6),"na"))</f>
        <v>na</v>
      </c>
      <c r="S162" s="273"/>
      <c r="T162" s="273"/>
      <c r="U162" s="56">
        <f>ROUND(IF(P162&gt;0,P162,I162)*IF(U155&gt;0,U155,N155)/IF(P155&gt;0,P155,I155),3)</f>
        <v>0.68400000000000005</v>
      </c>
      <c r="V162" s="43">
        <f t="shared" si="4"/>
        <v>0</v>
      </c>
      <c r="W162" s="43">
        <f>ROUND(IF($R162&lt;&gt;"na",-$R162,-$K162)*($F162-$G162),6)</f>
        <v>0</v>
      </c>
      <c r="X162" s="273">
        <f t="shared" si="8"/>
        <v>0</v>
      </c>
      <c r="Y162" s="273">
        <f t="shared" si="10"/>
        <v>0</v>
      </c>
      <c r="Z162" s="273">
        <f t="shared" si="9"/>
        <v>0</v>
      </c>
      <c r="AA162" s="273">
        <f t="shared" si="11"/>
        <v>0</v>
      </c>
      <c r="AB162" s="92">
        <f>ROUND($U162*($F162-$G162),6)</f>
        <v>0</v>
      </c>
      <c r="AC162" s="44"/>
      <c r="AD162" s="249"/>
    </row>
    <row r="163" spans="1:33" ht="15" x14ac:dyDescent="0.2">
      <c r="A163" s="35"/>
      <c r="B163" s="250" t="s">
        <v>198</v>
      </c>
      <c r="C163" s="210" t="s">
        <v>71</v>
      </c>
      <c r="D163" s="211" t="s">
        <v>58</v>
      </c>
      <c r="E163" s="199"/>
      <c r="F163" s="154"/>
      <c r="G163" s="155"/>
      <c r="H163" s="51"/>
      <c r="I163" s="50">
        <v>1</v>
      </c>
      <c r="J163" s="50"/>
      <c r="K163" s="48"/>
      <c r="L163" s="87" t="s">
        <v>95</v>
      </c>
      <c r="M163" s="87" t="s">
        <v>95</v>
      </c>
      <c r="N163" s="57">
        <f>ROUND(I163*IF(N155&gt;0,N155,0.504)/IF(I155&gt;0,I155,9.8),3)</f>
        <v>5.0999999999999997E-2</v>
      </c>
      <c r="O163" s="130"/>
      <c r="P163" s="130"/>
      <c r="Q163" s="130"/>
      <c r="R163" s="48"/>
      <c r="S163" s="273"/>
      <c r="T163" s="273"/>
      <c r="U163" s="56">
        <f>ROUND(IF(P163&gt;0,P163,I163)*IF(U155&gt;0,U155,N155)/IF(P155&gt;0,P155,I155),3)</f>
        <v>8.1000000000000003E-2</v>
      </c>
      <c r="V163" s="43">
        <f t="shared" si="4"/>
        <v>0</v>
      </c>
      <c r="W163" s="43"/>
      <c r="X163" s="273">
        <f t="shared" si="8"/>
        <v>0</v>
      </c>
      <c r="Y163" s="273"/>
      <c r="Z163" s="273">
        <f t="shared" si="9"/>
        <v>0</v>
      </c>
      <c r="AA163" s="273"/>
      <c r="AB163" s="92">
        <f>ROUND($U163*($F163-$G163),6)</f>
        <v>0</v>
      </c>
      <c r="AC163" s="44"/>
      <c r="AD163" s="249"/>
    </row>
    <row r="164" spans="1:33" ht="17" x14ac:dyDescent="0.2">
      <c r="A164" s="35"/>
      <c r="B164" s="250" t="s">
        <v>131</v>
      </c>
      <c r="C164" s="210" t="s">
        <v>82</v>
      </c>
      <c r="D164" s="211" t="s">
        <v>112</v>
      </c>
      <c r="E164" s="199"/>
      <c r="F164" s="154"/>
      <c r="G164" s="155"/>
      <c r="H164" s="51"/>
      <c r="I164" s="50">
        <v>23.574999999999999</v>
      </c>
      <c r="J164" s="50">
        <f>ROUND(0.52*0.789,3)</f>
        <v>0.41</v>
      </c>
      <c r="K164" s="48"/>
      <c r="L164" s="87" t="s">
        <v>95</v>
      </c>
      <c r="M164" s="87" t="s">
        <v>95</v>
      </c>
      <c r="N164" s="57">
        <v>1.494</v>
      </c>
      <c r="O164" s="130"/>
      <c r="P164" s="130"/>
      <c r="Q164" s="130"/>
      <c r="R164" s="48"/>
      <c r="S164" s="273"/>
      <c r="T164" s="273"/>
      <c r="U164" s="47"/>
      <c r="V164" s="43">
        <f t="shared" si="4"/>
        <v>0</v>
      </c>
      <c r="W164" s="43"/>
      <c r="X164" s="273">
        <f t="shared" si="8"/>
        <v>0</v>
      </c>
      <c r="Y164" s="273"/>
      <c r="Z164" s="273">
        <f t="shared" si="9"/>
        <v>0</v>
      </c>
      <c r="AA164" s="273"/>
      <c r="AB164" s="92"/>
      <c r="AC164" s="44">
        <f t="shared" ref="AC164:AC173" si="12">ROUND(IF($U164&lt;&gt;"",$U164,$N164)*($F164-$G164),6)</f>
        <v>0</v>
      </c>
      <c r="AD164" s="249"/>
    </row>
    <row r="165" spans="1:33" ht="17" x14ac:dyDescent="0.2">
      <c r="A165" s="35"/>
      <c r="B165" s="250" t="s">
        <v>131</v>
      </c>
      <c r="C165" s="210" t="s">
        <v>83</v>
      </c>
      <c r="D165" s="211" t="s">
        <v>112</v>
      </c>
      <c r="E165" s="199"/>
      <c r="F165" s="154"/>
      <c r="G165" s="155"/>
      <c r="H165" s="51"/>
      <c r="I165" s="50">
        <v>15.662000000000001</v>
      </c>
      <c r="J165" s="50">
        <f>ROUND(0.37*0.791,3)</f>
        <v>0.29299999999999998</v>
      </c>
      <c r="K165" s="48"/>
      <c r="L165" s="87" t="s">
        <v>95</v>
      </c>
      <c r="M165" s="87" t="s">
        <v>95</v>
      </c>
      <c r="N165" s="57">
        <f>ROUND(0.0688*19.9,3)</f>
        <v>1.369</v>
      </c>
      <c r="O165" s="130"/>
      <c r="P165" s="130"/>
      <c r="Q165" s="130"/>
      <c r="R165" s="48"/>
      <c r="S165" s="273"/>
      <c r="T165" s="273"/>
      <c r="U165" s="47"/>
      <c r="V165" s="43">
        <f t="shared" si="4"/>
        <v>0</v>
      </c>
      <c r="W165" s="43"/>
      <c r="X165" s="273">
        <f t="shared" si="8"/>
        <v>0</v>
      </c>
      <c r="Y165" s="273"/>
      <c r="Z165" s="273">
        <f t="shared" si="9"/>
        <v>0</v>
      </c>
      <c r="AA165" s="273"/>
      <c r="AB165" s="43"/>
      <c r="AC165" s="44">
        <f t="shared" si="12"/>
        <v>0</v>
      </c>
      <c r="AD165" s="249"/>
    </row>
    <row r="166" spans="1:33" ht="15" x14ac:dyDescent="0.2">
      <c r="A166" s="35"/>
      <c r="B166" s="250" t="s">
        <v>131</v>
      </c>
      <c r="C166" s="210" t="s">
        <v>81</v>
      </c>
      <c r="D166" s="211" t="s">
        <v>27</v>
      </c>
      <c r="E166" s="199"/>
      <c r="F166" s="154"/>
      <c r="G166" s="155"/>
      <c r="H166" s="51"/>
      <c r="I166" s="50">
        <v>37.5</v>
      </c>
      <c r="J166" s="50"/>
      <c r="K166" s="48"/>
      <c r="L166" s="87" t="s">
        <v>95</v>
      </c>
      <c r="M166" s="87" t="s">
        <v>95</v>
      </c>
      <c r="N166" s="57">
        <v>1.6</v>
      </c>
      <c r="O166" s="130"/>
      <c r="P166" s="130"/>
      <c r="Q166" s="130"/>
      <c r="R166" s="48"/>
      <c r="S166" s="273"/>
      <c r="T166" s="273"/>
      <c r="U166" s="47"/>
      <c r="V166" s="43">
        <f t="shared" si="4"/>
        <v>0</v>
      </c>
      <c r="W166" s="43"/>
      <c r="X166" s="273">
        <f t="shared" si="8"/>
        <v>0</v>
      </c>
      <c r="Y166" s="273"/>
      <c r="Z166" s="273">
        <f t="shared" si="9"/>
        <v>0</v>
      </c>
      <c r="AA166" s="273"/>
      <c r="AB166" s="43"/>
      <c r="AC166" s="44">
        <f t="shared" si="12"/>
        <v>0</v>
      </c>
      <c r="AD166" s="249"/>
    </row>
    <row r="167" spans="1:33" ht="15" x14ac:dyDescent="0.2">
      <c r="A167" s="35"/>
      <c r="B167" s="250" t="s">
        <v>107</v>
      </c>
      <c r="C167" s="210" t="s">
        <v>78</v>
      </c>
      <c r="D167" s="211" t="s">
        <v>14</v>
      </c>
      <c r="E167" s="199"/>
      <c r="F167" s="154"/>
      <c r="G167" s="155"/>
      <c r="H167" s="49"/>
      <c r="I167" s="48"/>
      <c r="J167" s="48"/>
      <c r="K167" s="48"/>
      <c r="L167" s="87" t="s">
        <v>95</v>
      </c>
      <c r="M167" s="87" t="s">
        <v>95</v>
      </c>
      <c r="N167" s="57">
        <v>0.55000000000000004</v>
      </c>
      <c r="O167" s="130"/>
      <c r="P167" s="130"/>
      <c r="Q167" s="130"/>
      <c r="R167" s="48"/>
      <c r="S167" s="273"/>
      <c r="T167" s="273"/>
      <c r="U167" s="47"/>
      <c r="V167" s="43">
        <f t="shared" si="4"/>
        <v>0</v>
      </c>
      <c r="W167" s="43"/>
      <c r="X167" s="273">
        <f t="shared" si="8"/>
        <v>0</v>
      </c>
      <c r="Y167" s="273"/>
      <c r="Z167" s="273">
        <f t="shared" si="9"/>
        <v>0</v>
      </c>
      <c r="AA167" s="273"/>
      <c r="AB167" s="92"/>
      <c r="AC167" s="44">
        <f t="shared" si="12"/>
        <v>0</v>
      </c>
      <c r="AD167" s="249"/>
    </row>
    <row r="168" spans="1:33" ht="15" x14ac:dyDescent="0.2">
      <c r="A168" s="35"/>
      <c r="B168" s="250" t="s">
        <v>107</v>
      </c>
      <c r="C168" s="210" t="s">
        <v>79</v>
      </c>
      <c r="D168" s="211" t="s">
        <v>14</v>
      </c>
      <c r="E168" s="199"/>
      <c r="F168" s="154"/>
      <c r="G168" s="155"/>
      <c r="H168" s="49"/>
      <c r="I168" s="48"/>
      <c r="J168" s="48"/>
      <c r="K168" s="48"/>
      <c r="L168" s="87" t="s">
        <v>95</v>
      </c>
      <c r="M168" s="87" t="s">
        <v>95</v>
      </c>
      <c r="N168" s="57">
        <v>0.3</v>
      </c>
      <c r="O168" s="130"/>
      <c r="P168" s="130"/>
      <c r="Q168" s="130"/>
      <c r="R168" s="48"/>
      <c r="S168" s="273"/>
      <c r="T168" s="273"/>
      <c r="U168" s="47"/>
      <c r="V168" s="43">
        <f t="shared" si="4"/>
        <v>0</v>
      </c>
      <c r="W168" s="43"/>
      <c r="X168" s="273">
        <f t="shared" si="8"/>
        <v>0</v>
      </c>
      <c r="Y168" s="273"/>
      <c r="Z168" s="273">
        <f t="shared" si="9"/>
        <v>0</v>
      </c>
      <c r="AA168" s="273"/>
      <c r="AB168" s="43"/>
      <c r="AC168" s="44">
        <f t="shared" si="12"/>
        <v>0</v>
      </c>
      <c r="AD168" s="249"/>
    </row>
    <row r="169" spans="1:33" ht="15" x14ac:dyDescent="0.2">
      <c r="A169" s="35"/>
      <c r="B169" s="250" t="s">
        <v>107</v>
      </c>
      <c r="C169" s="210" t="s">
        <v>70</v>
      </c>
      <c r="D169" s="211" t="s">
        <v>14</v>
      </c>
      <c r="E169" s="199"/>
      <c r="F169" s="154"/>
      <c r="G169" s="155"/>
      <c r="H169" s="49"/>
      <c r="I169" s="48"/>
      <c r="J169" s="48"/>
      <c r="K169" s="48"/>
      <c r="L169" s="87" t="s">
        <v>95</v>
      </c>
      <c r="M169" s="87" t="s">
        <v>95</v>
      </c>
      <c r="N169" s="57">
        <v>0.3</v>
      </c>
      <c r="O169" s="130"/>
      <c r="P169" s="130"/>
      <c r="Q169" s="130"/>
      <c r="R169" s="48"/>
      <c r="S169" s="273"/>
      <c r="T169" s="273"/>
      <c r="U169" s="47"/>
      <c r="V169" s="43">
        <f t="shared" si="4"/>
        <v>0</v>
      </c>
      <c r="W169" s="43"/>
      <c r="X169" s="273">
        <f t="shared" si="8"/>
        <v>0</v>
      </c>
      <c r="Y169" s="273"/>
      <c r="Z169" s="273">
        <f t="shared" si="9"/>
        <v>0</v>
      </c>
      <c r="AA169" s="273"/>
      <c r="AB169" s="43"/>
      <c r="AC169" s="44">
        <f t="shared" si="12"/>
        <v>0</v>
      </c>
      <c r="AD169" s="249"/>
    </row>
    <row r="170" spans="1:33" ht="15" x14ac:dyDescent="0.2">
      <c r="A170" s="35"/>
      <c r="B170" s="250" t="s">
        <v>132</v>
      </c>
      <c r="C170" s="209" t="s">
        <v>97</v>
      </c>
      <c r="D170" s="211" t="s">
        <v>27</v>
      </c>
      <c r="E170" s="199"/>
      <c r="F170" s="154"/>
      <c r="G170" s="155"/>
      <c r="H170" s="49"/>
      <c r="I170" s="48"/>
      <c r="J170" s="48"/>
      <c r="K170" s="48">
        <v>1</v>
      </c>
      <c r="L170" s="87" t="s">
        <v>95</v>
      </c>
      <c r="M170" s="87" t="s">
        <v>95</v>
      </c>
      <c r="N170" s="57"/>
      <c r="O170" s="130"/>
      <c r="P170" s="130"/>
      <c r="Q170" s="130"/>
      <c r="R170" s="48"/>
      <c r="S170" s="273"/>
      <c r="T170" s="273"/>
      <c r="U170" s="47"/>
      <c r="V170" s="43">
        <f>ROUND($K170*($F170-$G170),6)</f>
        <v>0</v>
      </c>
      <c r="W170" s="43"/>
      <c r="X170" s="273">
        <f t="shared" si="8"/>
        <v>0</v>
      </c>
      <c r="Y170" s="273"/>
      <c r="Z170" s="273">
        <f t="shared" si="9"/>
        <v>0</v>
      </c>
      <c r="AA170" s="273"/>
      <c r="AB170" s="43"/>
      <c r="AC170" s="44">
        <f t="shared" si="12"/>
        <v>0</v>
      </c>
      <c r="AD170" s="249"/>
    </row>
    <row r="171" spans="1:33" ht="15" x14ac:dyDescent="0.2">
      <c r="A171" s="35"/>
      <c r="B171" s="250" t="s">
        <v>130</v>
      </c>
      <c r="C171" s="209" t="s">
        <v>98</v>
      </c>
      <c r="D171" s="211" t="s">
        <v>27</v>
      </c>
      <c r="E171" s="199"/>
      <c r="F171" s="154"/>
      <c r="G171" s="155"/>
      <c r="H171" s="49"/>
      <c r="I171" s="48"/>
      <c r="J171" s="48"/>
      <c r="K171" s="48">
        <v>1</v>
      </c>
      <c r="L171" s="87" t="s">
        <v>95</v>
      </c>
      <c r="M171" s="87" t="s">
        <v>95</v>
      </c>
      <c r="N171" s="57"/>
      <c r="O171" s="130"/>
      <c r="P171" s="130"/>
      <c r="Q171" s="130"/>
      <c r="R171" s="48"/>
      <c r="S171" s="273"/>
      <c r="T171" s="273"/>
      <c r="U171" s="47"/>
      <c r="V171" s="43">
        <f>ROUND($K171*($F171-$G171),6)</f>
        <v>0</v>
      </c>
      <c r="W171" s="43"/>
      <c r="X171" s="273">
        <f t="shared" si="8"/>
        <v>0</v>
      </c>
      <c r="Y171" s="273"/>
      <c r="Z171" s="273">
        <f t="shared" si="9"/>
        <v>0</v>
      </c>
      <c r="AA171" s="273"/>
      <c r="AB171" s="92"/>
      <c r="AC171" s="44">
        <f t="shared" si="12"/>
        <v>0</v>
      </c>
      <c r="AD171" s="249"/>
    </row>
    <row r="172" spans="1:33" ht="15" x14ac:dyDescent="0.2">
      <c r="A172" s="33"/>
      <c r="B172" s="250" t="s">
        <v>201</v>
      </c>
      <c r="C172" s="210" t="s">
        <v>56</v>
      </c>
      <c r="D172" s="211" t="s">
        <v>27</v>
      </c>
      <c r="E172" s="199"/>
      <c r="F172" s="154"/>
      <c r="G172" s="155"/>
      <c r="H172" s="49">
        <v>37</v>
      </c>
      <c r="I172" s="48"/>
      <c r="J172" s="48"/>
      <c r="K172" s="48">
        <f>ROUND(44.01*0.925/12.011,3)</f>
        <v>3.3889999999999998</v>
      </c>
      <c r="L172" s="87">
        <v>3.6999999999999999E-4</v>
      </c>
      <c r="M172" s="87">
        <v>5.5999999999999999E-5</v>
      </c>
      <c r="N172" s="57"/>
      <c r="O172" s="130"/>
      <c r="P172" s="130"/>
      <c r="Q172" s="130"/>
      <c r="R172" s="59"/>
      <c r="S172" s="273"/>
      <c r="T172" s="273"/>
      <c r="U172" s="47"/>
      <c r="V172" s="43">
        <f>ROUND(IF($R172&lt;&gt;"",$R172,$K172)*($F172-$G172),6)</f>
        <v>0</v>
      </c>
      <c r="W172" s="43"/>
      <c r="X172" s="273">
        <f t="shared" si="8"/>
        <v>0</v>
      </c>
      <c r="Y172" s="273"/>
      <c r="Z172" s="273">
        <f t="shared" si="9"/>
        <v>0</v>
      </c>
      <c r="AA172" s="273"/>
      <c r="AB172" s="43"/>
      <c r="AC172" s="44">
        <f t="shared" si="12"/>
        <v>0</v>
      </c>
      <c r="AD172" s="249"/>
    </row>
    <row r="173" spans="1:33" ht="15" x14ac:dyDescent="0.2">
      <c r="A173" s="33"/>
      <c r="B173" s="251" t="s">
        <v>201</v>
      </c>
      <c r="C173" s="252" t="s">
        <v>57</v>
      </c>
      <c r="D173" s="253" t="s">
        <v>27</v>
      </c>
      <c r="E173" s="386"/>
      <c r="F173" s="254"/>
      <c r="G173" s="255"/>
      <c r="H173" s="256">
        <v>40.57</v>
      </c>
      <c r="I173" s="257"/>
      <c r="J173" s="257"/>
      <c r="K173" s="257">
        <f>ROUND(44.01*0.923/12.011,3)</f>
        <v>3.3820000000000001</v>
      </c>
      <c r="L173" s="258" t="s">
        <v>95</v>
      </c>
      <c r="M173" s="258" t="s">
        <v>95</v>
      </c>
      <c r="N173" s="259"/>
      <c r="O173" s="387"/>
      <c r="P173" s="387"/>
      <c r="Q173" s="387"/>
      <c r="R173" s="260"/>
      <c r="S173" s="274"/>
      <c r="T173" s="274"/>
      <c r="U173" s="261"/>
      <c r="V173" s="262">
        <f>ROUND(IF($R173&lt;&gt;"",$R173,$K173)*($F173-$G173),6)</f>
        <v>0</v>
      </c>
      <c r="W173" s="262"/>
      <c r="X173" s="274">
        <f t="shared" si="8"/>
        <v>0</v>
      </c>
      <c r="Y173" s="274"/>
      <c r="Z173" s="274">
        <f t="shared" si="9"/>
        <v>0</v>
      </c>
      <c r="AA173" s="274"/>
      <c r="AB173" s="262"/>
      <c r="AC173" s="263">
        <f t="shared" si="12"/>
        <v>0</v>
      </c>
      <c r="AD173" s="264"/>
    </row>
    <row r="174" spans="1:33" x14ac:dyDescent="0.2">
      <c r="A174" s="33"/>
      <c r="B174" s="34"/>
      <c r="C174" s="33"/>
      <c r="D174" s="40"/>
      <c r="E174" s="40"/>
      <c r="F174" s="40"/>
      <c r="G174" s="40"/>
      <c r="H174" s="40"/>
      <c r="I174" s="32"/>
      <c r="J174" s="32"/>
      <c r="K174" s="32"/>
      <c r="L174" s="32"/>
      <c r="M174" s="32"/>
      <c r="N174" s="32"/>
      <c r="O174" s="32"/>
      <c r="P174" s="32"/>
      <c r="Q174" s="39"/>
      <c r="R174" s="39"/>
      <c r="S174" s="39"/>
      <c r="T174" s="39"/>
      <c r="U174" s="39"/>
      <c r="V174" s="39"/>
      <c r="W174" s="39"/>
      <c r="X174" s="39"/>
      <c r="Y174" s="39"/>
      <c r="Z174" s="39"/>
      <c r="AA174" s="39"/>
      <c r="AB174" s="39"/>
      <c r="AC174" s="39"/>
      <c r="AD174" s="41"/>
      <c r="AE174" s="41"/>
      <c r="AF174" s="41"/>
      <c r="AG174" s="41"/>
    </row>
    <row r="176" spans="1:33" x14ac:dyDescent="0.2">
      <c r="B176" s="227">
        <v>6</v>
      </c>
      <c r="C176" s="181" t="s">
        <v>306</v>
      </c>
      <c r="X176" s="206" t="s">
        <v>292</v>
      </c>
      <c r="Y176" s="206" t="s">
        <v>292</v>
      </c>
      <c r="Z176" s="206" t="s">
        <v>293</v>
      </c>
      <c r="AA176" s="206" t="s">
        <v>293</v>
      </c>
    </row>
    <row r="177" spans="2:30" ht="15" customHeight="1" thickBot="1" x14ac:dyDescent="0.25">
      <c r="H177" s="404" t="s">
        <v>296</v>
      </c>
      <c r="I177" s="404"/>
      <c r="J177" s="227" t="s">
        <v>297</v>
      </c>
      <c r="K177" s="404" t="s">
        <v>295</v>
      </c>
      <c r="L177" s="404"/>
      <c r="T177" s="206"/>
      <c r="U177" s="206"/>
      <c r="V177" s="206" t="s">
        <v>290</v>
      </c>
      <c r="W177" s="206" t="s">
        <v>291</v>
      </c>
      <c r="X177" s="225" t="s">
        <v>290</v>
      </c>
      <c r="Y177" s="225" t="s">
        <v>291</v>
      </c>
      <c r="Z177" s="225" t="s">
        <v>290</v>
      </c>
      <c r="AA177" s="225" t="s">
        <v>291</v>
      </c>
      <c r="AB177" s="206" t="s">
        <v>203</v>
      </c>
      <c r="AC177" s="206" t="s">
        <v>205</v>
      </c>
    </row>
    <row r="178" spans="2:30" x14ac:dyDescent="0.2">
      <c r="B178" s="413" t="s">
        <v>304</v>
      </c>
      <c r="C178" s="309" t="s">
        <v>270</v>
      </c>
      <c r="D178" s="310">
        <f>F62</f>
        <v>0</v>
      </c>
      <c r="E178" s="378" t="s">
        <v>202</v>
      </c>
      <c r="F178" s="377" t="s">
        <v>203</v>
      </c>
      <c r="G178" s="377" t="s">
        <v>205</v>
      </c>
      <c r="H178" s="312" t="s">
        <v>288</v>
      </c>
      <c r="I178" s="313" t="s">
        <v>294</v>
      </c>
      <c r="J178" s="314" t="s">
        <v>202</v>
      </c>
      <c r="K178" s="315" t="s">
        <v>288</v>
      </c>
      <c r="L178" s="316" t="s">
        <v>294</v>
      </c>
      <c r="T178" s="410" t="s">
        <v>192</v>
      </c>
      <c r="U178" s="290" t="s">
        <v>136</v>
      </c>
      <c r="V178" s="291">
        <f>SUM(V89:V173)</f>
        <v>0</v>
      </c>
      <c r="W178" s="292">
        <f>SUM(W89:W173)</f>
        <v>0</v>
      </c>
      <c r="X178" s="293">
        <f>SUM(X89:X173)</f>
        <v>0</v>
      </c>
      <c r="Y178" s="294">
        <f t="shared" ref="Y178:AC178" si="13">SUM(Y89:Y173)</f>
        <v>0</v>
      </c>
      <c r="Z178" s="294">
        <f t="shared" si="13"/>
        <v>0</v>
      </c>
      <c r="AA178" s="295">
        <f t="shared" si="13"/>
        <v>0</v>
      </c>
      <c r="AB178" s="296">
        <f t="shared" si="13"/>
        <v>0</v>
      </c>
      <c r="AC178" s="297">
        <f t="shared" si="13"/>
        <v>0</v>
      </c>
    </row>
    <row r="179" spans="2:30" x14ac:dyDescent="0.2">
      <c r="B179" s="414"/>
      <c r="C179" s="317"/>
      <c r="D179" s="218"/>
      <c r="E179" s="135" t="s">
        <v>208</v>
      </c>
      <c r="F179" s="136"/>
      <c r="G179" s="136"/>
      <c r="H179" s="136"/>
      <c r="I179" s="137"/>
      <c r="J179" s="226" t="s">
        <v>206</v>
      </c>
      <c r="K179" s="279" t="s">
        <v>207</v>
      </c>
      <c r="L179" s="318"/>
      <c r="T179" s="411"/>
      <c r="U179" s="209"/>
      <c r="V179" s="217"/>
      <c r="W179" s="223" t="s">
        <v>137</v>
      </c>
      <c r="X179" s="298" t="s">
        <v>138</v>
      </c>
      <c r="Y179" s="298" t="s">
        <v>138</v>
      </c>
      <c r="Z179" s="298" t="s">
        <v>139</v>
      </c>
      <c r="AA179" s="223" t="s">
        <v>139</v>
      </c>
      <c r="AB179" s="224"/>
      <c r="AC179" s="299"/>
      <c r="AD179" s="25" t="s">
        <v>289</v>
      </c>
    </row>
    <row r="180" spans="2:30" x14ac:dyDescent="0.2">
      <c r="B180" s="414"/>
      <c r="C180" s="319" t="s">
        <v>192</v>
      </c>
      <c r="D180" s="209" t="s">
        <v>204</v>
      </c>
      <c r="E180" s="138" t="e">
        <f>SUM(V180,W180)/$D$178</f>
        <v>#DIV/0!</v>
      </c>
      <c r="F180" s="139" t="e">
        <f>AB180/$D$178</f>
        <v>#DIV/0!</v>
      </c>
      <c r="G180" s="139" t="e">
        <f>AC180/$D$178</f>
        <v>#DIV/0!</v>
      </c>
      <c r="H180" s="140" t="e">
        <f>SUM(F180,E180)</f>
        <v>#DIV/0!</v>
      </c>
      <c r="I180" s="141" t="e">
        <f>SUM(E180:G180)</f>
        <v>#DIV/0!</v>
      </c>
      <c r="J180" s="142" t="e">
        <f>SUM(X180,Y180,Z180,AA180)/$D$178</f>
        <v>#DIV/0!</v>
      </c>
      <c r="K180" s="143" t="e">
        <f>SUM(H180,J180)</f>
        <v>#DIV/0!</v>
      </c>
      <c r="L180" s="320" t="e">
        <f>SUM(I180,J180)</f>
        <v>#DIV/0!</v>
      </c>
      <c r="T180" s="411"/>
      <c r="U180" s="209" t="s">
        <v>134</v>
      </c>
      <c r="V180" s="93">
        <f>V178</f>
        <v>0</v>
      </c>
      <c r="W180" s="131">
        <f>W178</f>
        <v>0</v>
      </c>
      <c r="X180" s="221">
        <f>X178*28</f>
        <v>0</v>
      </c>
      <c r="Y180" s="222">
        <f>Y178*28</f>
        <v>0</v>
      </c>
      <c r="Z180" s="222">
        <f>Z178*265</f>
        <v>0</v>
      </c>
      <c r="AA180" s="228">
        <f>AA178*265</f>
        <v>0</v>
      </c>
      <c r="AB180" s="133">
        <f t="shared" ref="AB180:AC180" si="14">AB178</f>
        <v>0</v>
      </c>
      <c r="AC180" s="300">
        <f t="shared" si="14"/>
        <v>0</v>
      </c>
    </row>
    <row r="181" spans="2:30" x14ac:dyDescent="0.2">
      <c r="B181" s="414"/>
      <c r="C181" s="317"/>
      <c r="D181" s="217"/>
      <c r="E181" s="144"/>
      <c r="F181" s="321"/>
      <c r="G181" s="321"/>
      <c r="H181" s="321"/>
      <c r="I181" s="145"/>
      <c r="J181" s="146"/>
      <c r="K181" s="144"/>
      <c r="L181" s="322"/>
      <c r="T181" s="301"/>
      <c r="W181" s="132"/>
      <c r="AA181" s="132"/>
      <c r="AB181" s="134"/>
      <c r="AC181" s="284"/>
    </row>
    <row r="182" spans="2:30" x14ac:dyDescent="0.2">
      <c r="B182" s="414"/>
      <c r="C182" s="302" t="s">
        <v>210</v>
      </c>
      <c r="D182" s="209" t="s">
        <v>204</v>
      </c>
      <c r="E182" s="147" t="e">
        <f>SUM(V182,W182)/$D$178</f>
        <v>#DIV/0!</v>
      </c>
      <c r="F182" s="148" t="e">
        <f t="shared" ref="F182:G197" si="15">AB182/$D$178</f>
        <v>#DIV/0!</v>
      </c>
      <c r="G182" s="148" t="e">
        <f t="shared" si="15"/>
        <v>#DIV/0!</v>
      </c>
      <c r="H182" s="148" t="e">
        <f>SUM(F182,E182)</f>
        <v>#DIV/0!</v>
      </c>
      <c r="I182" s="149" t="e">
        <f t="shared" ref="I182:I197" si="16">SUM(E182:G182)</f>
        <v>#DIV/0!</v>
      </c>
      <c r="J182" s="275" t="e">
        <f t="shared" ref="J182:J197" si="17">SUM(X182,Y182,Z182,AA182)/$D$178</f>
        <v>#DIV/0!</v>
      </c>
      <c r="K182" s="276" t="e">
        <f t="shared" ref="K182:K197" si="18">SUM(H182,J182)</f>
        <v>#DIV/0!</v>
      </c>
      <c r="L182" s="323" t="e">
        <f t="shared" ref="L182:L197" si="19">SUM(I182,J182)</f>
        <v>#DIV/0!</v>
      </c>
      <c r="T182" s="302" t="s">
        <v>210</v>
      </c>
      <c r="U182" s="209" t="s">
        <v>134</v>
      </c>
      <c r="V182" s="93">
        <f t="shared" ref="V182:W186" si="20">SUMIFS(V$89:V$173,$B$89:$B$173,$T182)</f>
        <v>0</v>
      </c>
      <c r="W182" s="131">
        <f t="shared" si="20"/>
        <v>0</v>
      </c>
      <c r="X182" s="221">
        <f t="shared" ref="X182:Y186" si="21">SUMIFS(X$89:X$173,$B$89:$B$173,$T182)*28</f>
        <v>0</v>
      </c>
      <c r="Y182" s="222">
        <f t="shared" si="21"/>
        <v>0</v>
      </c>
      <c r="Z182" s="222">
        <f t="shared" ref="Z182:AA186" si="22">SUMIFS(Z$89:Z$173,$B$89:$B$173,$T182)*265</f>
        <v>0</v>
      </c>
      <c r="AA182" s="228">
        <f t="shared" si="22"/>
        <v>0</v>
      </c>
      <c r="AB182" s="133">
        <f t="shared" ref="AB182:AC186" si="23">SUMIFS(AB$89:AB$173,$B$89:$B$173,$T182)</f>
        <v>0</v>
      </c>
      <c r="AC182" s="300">
        <f t="shared" si="23"/>
        <v>0</v>
      </c>
    </row>
    <row r="183" spans="2:30" x14ac:dyDescent="0.2">
      <c r="B183" s="414"/>
      <c r="C183" s="302" t="s">
        <v>197</v>
      </c>
      <c r="D183" s="209" t="s">
        <v>204</v>
      </c>
      <c r="E183" s="147" t="e">
        <f t="shared" ref="E183:E197" si="24">SUM(V183,W183)/$D$178</f>
        <v>#DIV/0!</v>
      </c>
      <c r="F183" s="148" t="e">
        <f t="shared" si="15"/>
        <v>#DIV/0!</v>
      </c>
      <c r="G183" s="148" t="e">
        <f t="shared" si="15"/>
        <v>#DIV/0!</v>
      </c>
      <c r="H183" s="148" t="e">
        <f t="shared" ref="H183:H197" si="25">SUM(F183,E183)</f>
        <v>#DIV/0!</v>
      </c>
      <c r="I183" s="149" t="e">
        <f t="shared" si="16"/>
        <v>#DIV/0!</v>
      </c>
      <c r="J183" s="275" t="e">
        <f t="shared" si="17"/>
        <v>#DIV/0!</v>
      </c>
      <c r="K183" s="276" t="e">
        <f t="shared" si="18"/>
        <v>#DIV/0!</v>
      </c>
      <c r="L183" s="323" t="e">
        <f t="shared" si="19"/>
        <v>#DIV/0!</v>
      </c>
      <c r="T183" s="302" t="s">
        <v>197</v>
      </c>
      <c r="U183" s="209" t="s">
        <v>134</v>
      </c>
      <c r="V183" s="93">
        <f t="shared" si="20"/>
        <v>0</v>
      </c>
      <c r="W183" s="131">
        <f t="shared" si="20"/>
        <v>0</v>
      </c>
      <c r="X183" s="221">
        <f t="shared" si="21"/>
        <v>0</v>
      </c>
      <c r="Y183" s="222">
        <f t="shared" si="21"/>
        <v>0</v>
      </c>
      <c r="Z183" s="222">
        <f t="shared" si="22"/>
        <v>0</v>
      </c>
      <c r="AA183" s="228">
        <f t="shared" si="22"/>
        <v>0</v>
      </c>
      <c r="AB183" s="133">
        <f t="shared" si="23"/>
        <v>0</v>
      </c>
      <c r="AC183" s="300">
        <f t="shared" si="23"/>
        <v>0</v>
      </c>
    </row>
    <row r="184" spans="2:30" x14ac:dyDescent="0.2">
      <c r="B184" s="414"/>
      <c r="C184" s="302" t="s">
        <v>200</v>
      </c>
      <c r="D184" s="209" t="s">
        <v>204</v>
      </c>
      <c r="E184" s="147" t="e">
        <f t="shared" si="24"/>
        <v>#DIV/0!</v>
      </c>
      <c r="F184" s="148" t="e">
        <f t="shared" si="15"/>
        <v>#DIV/0!</v>
      </c>
      <c r="G184" s="148" t="e">
        <f t="shared" si="15"/>
        <v>#DIV/0!</v>
      </c>
      <c r="H184" s="148" t="e">
        <f t="shared" si="25"/>
        <v>#DIV/0!</v>
      </c>
      <c r="I184" s="149" t="e">
        <f t="shared" si="16"/>
        <v>#DIV/0!</v>
      </c>
      <c r="J184" s="275" t="e">
        <f t="shared" si="17"/>
        <v>#DIV/0!</v>
      </c>
      <c r="K184" s="276" t="e">
        <f t="shared" si="18"/>
        <v>#DIV/0!</v>
      </c>
      <c r="L184" s="323" t="e">
        <f t="shared" si="19"/>
        <v>#DIV/0!</v>
      </c>
      <c r="T184" s="302" t="s">
        <v>200</v>
      </c>
      <c r="U184" s="209" t="s">
        <v>134</v>
      </c>
      <c r="V184" s="93">
        <f t="shared" si="20"/>
        <v>0</v>
      </c>
      <c r="W184" s="131">
        <f t="shared" si="20"/>
        <v>0</v>
      </c>
      <c r="X184" s="221">
        <f t="shared" si="21"/>
        <v>0</v>
      </c>
      <c r="Y184" s="222">
        <f t="shared" si="21"/>
        <v>0</v>
      </c>
      <c r="Z184" s="222">
        <f t="shared" si="22"/>
        <v>0</v>
      </c>
      <c r="AA184" s="228">
        <f t="shared" si="22"/>
        <v>0</v>
      </c>
      <c r="AB184" s="133">
        <f t="shared" si="23"/>
        <v>0</v>
      </c>
      <c r="AC184" s="300">
        <f t="shared" si="23"/>
        <v>0</v>
      </c>
    </row>
    <row r="185" spans="2:30" x14ac:dyDescent="0.2">
      <c r="B185" s="414"/>
      <c r="C185" s="302" t="s">
        <v>195</v>
      </c>
      <c r="D185" s="209" t="s">
        <v>204</v>
      </c>
      <c r="E185" s="147" t="e">
        <f t="shared" si="24"/>
        <v>#DIV/0!</v>
      </c>
      <c r="F185" s="148" t="e">
        <f t="shared" si="15"/>
        <v>#DIV/0!</v>
      </c>
      <c r="G185" s="148" t="e">
        <f t="shared" si="15"/>
        <v>#DIV/0!</v>
      </c>
      <c r="H185" s="148" t="e">
        <f>SUM(F185,E185)</f>
        <v>#DIV/0!</v>
      </c>
      <c r="I185" s="149" t="e">
        <f t="shared" si="16"/>
        <v>#DIV/0!</v>
      </c>
      <c r="J185" s="275" t="e">
        <f t="shared" si="17"/>
        <v>#DIV/0!</v>
      </c>
      <c r="K185" s="276" t="e">
        <f t="shared" si="18"/>
        <v>#DIV/0!</v>
      </c>
      <c r="L185" s="323" t="e">
        <f t="shared" si="19"/>
        <v>#DIV/0!</v>
      </c>
      <c r="T185" s="302" t="s">
        <v>195</v>
      </c>
      <c r="U185" s="209" t="s">
        <v>134</v>
      </c>
      <c r="V185" s="93">
        <f t="shared" si="20"/>
        <v>0</v>
      </c>
      <c r="W185" s="131">
        <f t="shared" si="20"/>
        <v>0</v>
      </c>
      <c r="X185" s="221">
        <f t="shared" si="21"/>
        <v>0</v>
      </c>
      <c r="Y185" s="222">
        <f t="shared" si="21"/>
        <v>0</v>
      </c>
      <c r="Z185" s="222">
        <f t="shared" si="22"/>
        <v>0</v>
      </c>
      <c r="AA185" s="228">
        <f t="shared" si="22"/>
        <v>0</v>
      </c>
      <c r="AB185" s="133">
        <f t="shared" si="23"/>
        <v>0</v>
      </c>
      <c r="AC185" s="300">
        <f t="shared" si="23"/>
        <v>0</v>
      </c>
    </row>
    <row r="186" spans="2:30" x14ac:dyDescent="0.2">
      <c r="B186" s="414"/>
      <c r="C186" s="302" t="s">
        <v>194</v>
      </c>
      <c r="D186" s="209" t="s">
        <v>204</v>
      </c>
      <c r="E186" s="147" t="e">
        <f t="shared" si="24"/>
        <v>#DIV/0!</v>
      </c>
      <c r="F186" s="148" t="e">
        <f t="shared" si="15"/>
        <v>#DIV/0!</v>
      </c>
      <c r="G186" s="148" t="e">
        <f t="shared" si="15"/>
        <v>#DIV/0!</v>
      </c>
      <c r="H186" s="148" t="e">
        <f>SUM(F186,E186)</f>
        <v>#DIV/0!</v>
      </c>
      <c r="I186" s="149" t="e">
        <f>SUM(E186:G186)</f>
        <v>#DIV/0!</v>
      </c>
      <c r="J186" s="275" t="e">
        <f t="shared" si="17"/>
        <v>#DIV/0!</v>
      </c>
      <c r="K186" s="276" t="e">
        <f t="shared" si="18"/>
        <v>#DIV/0!</v>
      </c>
      <c r="L186" s="323" t="e">
        <f t="shared" si="19"/>
        <v>#DIV/0!</v>
      </c>
      <c r="T186" s="302" t="s">
        <v>194</v>
      </c>
      <c r="U186" s="209" t="s">
        <v>134</v>
      </c>
      <c r="V186" s="93">
        <f t="shared" si="20"/>
        <v>0</v>
      </c>
      <c r="W186" s="131">
        <f t="shared" si="20"/>
        <v>0</v>
      </c>
      <c r="X186" s="221">
        <f t="shared" si="21"/>
        <v>0</v>
      </c>
      <c r="Y186" s="222">
        <f t="shared" si="21"/>
        <v>0</v>
      </c>
      <c r="Z186" s="222">
        <f t="shared" si="22"/>
        <v>0</v>
      </c>
      <c r="AA186" s="228">
        <f t="shared" si="22"/>
        <v>0</v>
      </c>
      <c r="AB186" s="133">
        <f t="shared" si="23"/>
        <v>0</v>
      </c>
      <c r="AC186" s="300">
        <f t="shared" si="23"/>
        <v>0</v>
      </c>
    </row>
    <row r="187" spans="2:30" x14ac:dyDescent="0.2">
      <c r="B187" s="414"/>
      <c r="C187" s="302" t="s">
        <v>308</v>
      </c>
      <c r="D187" s="209" t="s">
        <v>204</v>
      </c>
      <c r="E187" s="147" t="e">
        <f>SUM(V187,W187)/$D$178</f>
        <v>#DIV/0!</v>
      </c>
      <c r="F187" s="148" t="e">
        <f t="shared" si="15"/>
        <v>#DIV/0!</v>
      </c>
      <c r="G187" s="148" t="e">
        <f t="shared" si="15"/>
        <v>#DIV/0!</v>
      </c>
      <c r="H187" s="148" t="e">
        <f>SUM(F187,E186)</f>
        <v>#DIV/0!</v>
      </c>
      <c r="I187" s="149" t="e">
        <f t="shared" ref="I187" si="26">SUM(E187:G187)</f>
        <v>#DIV/0!</v>
      </c>
      <c r="J187" s="275" t="e">
        <f t="shared" si="17"/>
        <v>#DIV/0!</v>
      </c>
      <c r="K187" s="276" t="e">
        <f t="shared" si="18"/>
        <v>#DIV/0!</v>
      </c>
      <c r="L187" s="323" t="e">
        <f t="shared" si="19"/>
        <v>#DIV/0!</v>
      </c>
      <c r="T187" s="302" t="s">
        <v>308</v>
      </c>
      <c r="U187" s="209" t="s">
        <v>134</v>
      </c>
      <c r="V187" s="93">
        <f>SUMIFS(V$128:V$131,$B$128:$B$131,$T187)</f>
        <v>0</v>
      </c>
      <c r="W187" s="131">
        <f>SUMIFS(W$128:W$131,$B$128:$B$131,$T187)</f>
        <v>0</v>
      </c>
      <c r="X187" s="221">
        <f>SUMIFS(X$128:X$131,$B$128:$B$131,$T187)*28</f>
        <v>0</v>
      </c>
      <c r="Y187" s="222">
        <f>SUMIFS(Y$128:Y$131,$B$128:$B$131,$T187)*28</f>
        <v>0</v>
      </c>
      <c r="Z187" s="222">
        <f>SUMIFS(Z$128:Z$131,$B$128:$B$131,$T187)*265</f>
        <v>0</v>
      </c>
      <c r="AA187" s="228">
        <f>SUMIFS(AA$128:AA$131,$B$128:$B$131,$T187)*265</f>
        <v>0</v>
      </c>
      <c r="AB187" s="133">
        <f>SUMIFS(AB$128:AB$131,$B$128:$B$131,$T187)</f>
        <v>0</v>
      </c>
      <c r="AC187" s="300">
        <f>SUMIFS(AC$128:AC$131,$B$128:$B$131,$T187)</f>
        <v>0</v>
      </c>
    </row>
    <row r="188" spans="2:30" x14ac:dyDescent="0.2">
      <c r="B188" s="414"/>
      <c r="C188" s="302" t="s">
        <v>196</v>
      </c>
      <c r="D188" s="209" t="s">
        <v>204</v>
      </c>
      <c r="E188" s="147" t="e">
        <f t="shared" si="24"/>
        <v>#DIV/0!</v>
      </c>
      <c r="F188" s="148" t="e">
        <f t="shared" si="15"/>
        <v>#DIV/0!</v>
      </c>
      <c r="G188" s="148" t="e">
        <f t="shared" si="15"/>
        <v>#DIV/0!</v>
      </c>
      <c r="H188" s="148" t="e">
        <f t="shared" si="25"/>
        <v>#DIV/0!</v>
      </c>
      <c r="I188" s="149" t="e">
        <f t="shared" si="16"/>
        <v>#DIV/0!</v>
      </c>
      <c r="J188" s="275" t="e">
        <f t="shared" si="17"/>
        <v>#DIV/0!</v>
      </c>
      <c r="K188" s="276" t="e">
        <f t="shared" si="18"/>
        <v>#DIV/0!</v>
      </c>
      <c r="L188" s="323" t="e">
        <f t="shared" si="19"/>
        <v>#DIV/0!</v>
      </c>
      <c r="T188" s="302" t="s">
        <v>196</v>
      </c>
      <c r="U188" s="209" t="s">
        <v>134</v>
      </c>
      <c r="V188" s="93">
        <f t="shared" ref="V188:W197" si="27">SUMIFS(V$89:V$173,$B$89:$B$173,$T188)</f>
        <v>0</v>
      </c>
      <c r="W188" s="131">
        <f t="shared" si="27"/>
        <v>0</v>
      </c>
      <c r="X188" s="221">
        <f t="shared" ref="X188:Y197" si="28">SUMIFS(X$89:X$173,$B$89:$B$173,$T188)*28</f>
        <v>0</v>
      </c>
      <c r="Y188" s="222">
        <f t="shared" si="28"/>
        <v>0</v>
      </c>
      <c r="Z188" s="222">
        <f t="shared" ref="Z188:AA197" si="29">SUMIFS(Z$89:Z$173,$B$89:$B$173,$T188)*265</f>
        <v>0</v>
      </c>
      <c r="AA188" s="228">
        <f t="shared" si="29"/>
        <v>0</v>
      </c>
      <c r="AB188" s="133">
        <f t="shared" ref="AB188:AC197" si="30">SUMIFS(AB$89:AB$173,$B$89:$B$173,$T188)</f>
        <v>0</v>
      </c>
      <c r="AC188" s="300">
        <f t="shared" si="30"/>
        <v>0</v>
      </c>
    </row>
    <row r="189" spans="2:30" x14ac:dyDescent="0.2">
      <c r="B189" s="414"/>
      <c r="C189" s="302" t="s">
        <v>48</v>
      </c>
      <c r="D189" s="209" t="s">
        <v>204</v>
      </c>
      <c r="E189" s="147" t="e">
        <f>SUM(V189,W189)/$D$178</f>
        <v>#DIV/0!</v>
      </c>
      <c r="F189" s="148" t="e">
        <f t="shared" si="15"/>
        <v>#DIV/0!</v>
      </c>
      <c r="G189" s="148" t="e">
        <f t="shared" si="15"/>
        <v>#DIV/0!</v>
      </c>
      <c r="H189" s="148" t="e">
        <f t="shared" si="25"/>
        <v>#DIV/0!</v>
      </c>
      <c r="I189" s="149" t="e">
        <f t="shared" si="16"/>
        <v>#DIV/0!</v>
      </c>
      <c r="J189" s="275" t="e">
        <f t="shared" si="17"/>
        <v>#DIV/0!</v>
      </c>
      <c r="K189" s="276" t="e">
        <f t="shared" si="18"/>
        <v>#DIV/0!</v>
      </c>
      <c r="L189" s="323" t="e">
        <f t="shared" si="19"/>
        <v>#DIV/0!</v>
      </c>
      <c r="T189" s="302" t="s">
        <v>48</v>
      </c>
      <c r="U189" s="209" t="s">
        <v>134</v>
      </c>
      <c r="V189" s="93">
        <f t="shared" si="27"/>
        <v>0</v>
      </c>
      <c r="W189" s="131">
        <f t="shared" si="27"/>
        <v>0</v>
      </c>
      <c r="X189" s="221">
        <f t="shared" si="28"/>
        <v>0</v>
      </c>
      <c r="Y189" s="222">
        <f t="shared" si="28"/>
        <v>0</v>
      </c>
      <c r="Z189" s="222">
        <f t="shared" si="29"/>
        <v>0</v>
      </c>
      <c r="AA189" s="228">
        <f t="shared" si="29"/>
        <v>0</v>
      </c>
      <c r="AB189" s="133">
        <f t="shared" si="30"/>
        <v>0</v>
      </c>
      <c r="AC189" s="300">
        <f t="shared" si="30"/>
        <v>0</v>
      </c>
    </row>
    <row r="190" spans="2:30" x14ac:dyDescent="0.2">
      <c r="B190" s="414"/>
      <c r="C190" s="302" t="s">
        <v>198</v>
      </c>
      <c r="D190" s="209" t="s">
        <v>204</v>
      </c>
      <c r="E190" s="147" t="e">
        <f t="shared" si="24"/>
        <v>#DIV/0!</v>
      </c>
      <c r="F190" s="148" t="e">
        <f t="shared" si="15"/>
        <v>#DIV/0!</v>
      </c>
      <c r="G190" s="148" t="e">
        <f t="shared" si="15"/>
        <v>#DIV/0!</v>
      </c>
      <c r="H190" s="148" t="e">
        <f t="shared" si="25"/>
        <v>#DIV/0!</v>
      </c>
      <c r="I190" s="149" t="e">
        <f t="shared" si="16"/>
        <v>#DIV/0!</v>
      </c>
      <c r="J190" s="275" t="e">
        <f t="shared" si="17"/>
        <v>#DIV/0!</v>
      </c>
      <c r="K190" s="276" t="e">
        <f t="shared" si="18"/>
        <v>#DIV/0!</v>
      </c>
      <c r="L190" s="323" t="e">
        <f t="shared" si="19"/>
        <v>#DIV/0!</v>
      </c>
      <c r="T190" s="302" t="s">
        <v>198</v>
      </c>
      <c r="U190" s="209" t="s">
        <v>134</v>
      </c>
      <c r="V190" s="93">
        <f t="shared" si="27"/>
        <v>0</v>
      </c>
      <c r="W190" s="131">
        <f t="shared" si="27"/>
        <v>0</v>
      </c>
      <c r="X190" s="221">
        <f t="shared" si="28"/>
        <v>0</v>
      </c>
      <c r="Y190" s="222">
        <f t="shared" si="28"/>
        <v>0</v>
      </c>
      <c r="Z190" s="222">
        <f t="shared" si="29"/>
        <v>0</v>
      </c>
      <c r="AA190" s="228">
        <f t="shared" si="29"/>
        <v>0</v>
      </c>
      <c r="AB190" s="133">
        <f t="shared" si="30"/>
        <v>0</v>
      </c>
      <c r="AC190" s="300">
        <f t="shared" si="30"/>
        <v>0</v>
      </c>
    </row>
    <row r="191" spans="2:30" x14ac:dyDescent="0.2">
      <c r="B191" s="414"/>
      <c r="C191" s="302" t="s">
        <v>199</v>
      </c>
      <c r="D191" s="209" t="s">
        <v>204</v>
      </c>
      <c r="E191" s="147" t="e">
        <f t="shared" si="24"/>
        <v>#DIV/0!</v>
      </c>
      <c r="F191" s="148" t="e">
        <f t="shared" si="15"/>
        <v>#DIV/0!</v>
      </c>
      <c r="G191" s="148" t="e">
        <f t="shared" si="15"/>
        <v>#DIV/0!</v>
      </c>
      <c r="H191" s="148" t="e">
        <f t="shared" si="25"/>
        <v>#DIV/0!</v>
      </c>
      <c r="I191" s="149" t="e">
        <f t="shared" si="16"/>
        <v>#DIV/0!</v>
      </c>
      <c r="J191" s="275" t="e">
        <f t="shared" si="17"/>
        <v>#DIV/0!</v>
      </c>
      <c r="K191" s="276" t="e">
        <f t="shared" si="18"/>
        <v>#DIV/0!</v>
      </c>
      <c r="L191" s="323" t="e">
        <f t="shared" si="19"/>
        <v>#DIV/0!</v>
      </c>
      <c r="T191" s="302" t="s">
        <v>199</v>
      </c>
      <c r="U191" s="209" t="s">
        <v>134</v>
      </c>
      <c r="V191" s="93">
        <f t="shared" si="27"/>
        <v>0</v>
      </c>
      <c r="W191" s="131">
        <f t="shared" si="27"/>
        <v>0</v>
      </c>
      <c r="X191" s="221">
        <f t="shared" si="28"/>
        <v>0</v>
      </c>
      <c r="Y191" s="222">
        <f t="shared" si="28"/>
        <v>0</v>
      </c>
      <c r="Z191" s="222">
        <f t="shared" si="29"/>
        <v>0</v>
      </c>
      <c r="AA191" s="228">
        <f t="shared" si="29"/>
        <v>0</v>
      </c>
      <c r="AB191" s="133">
        <f t="shared" si="30"/>
        <v>0</v>
      </c>
      <c r="AC191" s="300">
        <f t="shared" si="30"/>
        <v>0</v>
      </c>
    </row>
    <row r="192" spans="2:30" x14ac:dyDescent="0.2">
      <c r="B192" s="414"/>
      <c r="C192" s="302" t="s">
        <v>131</v>
      </c>
      <c r="D192" s="209" t="s">
        <v>204</v>
      </c>
      <c r="E192" s="147" t="e">
        <f t="shared" si="24"/>
        <v>#DIV/0!</v>
      </c>
      <c r="F192" s="148" t="e">
        <f t="shared" si="15"/>
        <v>#DIV/0!</v>
      </c>
      <c r="G192" s="148" t="e">
        <f t="shared" si="15"/>
        <v>#DIV/0!</v>
      </c>
      <c r="H192" s="148" t="e">
        <f t="shared" si="25"/>
        <v>#DIV/0!</v>
      </c>
      <c r="I192" s="149" t="e">
        <f t="shared" si="16"/>
        <v>#DIV/0!</v>
      </c>
      <c r="J192" s="275" t="e">
        <f t="shared" si="17"/>
        <v>#DIV/0!</v>
      </c>
      <c r="K192" s="276" t="e">
        <f t="shared" si="18"/>
        <v>#DIV/0!</v>
      </c>
      <c r="L192" s="323" t="e">
        <f t="shared" si="19"/>
        <v>#DIV/0!</v>
      </c>
      <c r="T192" s="302" t="s">
        <v>131</v>
      </c>
      <c r="U192" s="209" t="s">
        <v>134</v>
      </c>
      <c r="V192" s="93">
        <f t="shared" si="27"/>
        <v>0</v>
      </c>
      <c r="W192" s="131">
        <f t="shared" si="27"/>
        <v>0</v>
      </c>
      <c r="X192" s="221">
        <f t="shared" si="28"/>
        <v>0</v>
      </c>
      <c r="Y192" s="222">
        <f t="shared" si="28"/>
        <v>0</v>
      </c>
      <c r="Z192" s="222">
        <f t="shared" si="29"/>
        <v>0</v>
      </c>
      <c r="AA192" s="228">
        <f t="shared" si="29"/>
        <v>0</v>
      </c>
      <c r="AB192" s="133">
        <f t="shared" si="30"/>
        <v>0</v>
      </c>
      <c r="AC192" s="300">
        <f t="shared" si="30"/>
        <v>0</v>
      </c>
    </row>
    <row r="193" spans="2:29" x14ac:dyDescent="0.2">
      <c r="B193" s="414"/>
      <c r="C193" s="302" t="s">
        <v>193</v>
      </c>
      <c r="D193" s="209" t="s">
        <v>204</v>
      </c>
      <c r="E193" s="147" t="e">
        <f t="shared" si="24"/>
        <v>#DIV/0!</v>
      </c>
      <c r="F193" s="148" t="e">
        <f t="shared" si="15"/>
        <v>#DIV/0!</v>
      </c>
      <c r="G193" s="148" t="e">
        <f t="shared" si="15"/>
        <v>#DIV/0!</v>
      </c>
      <c r="H193" s="148" t="e">
        <f t="shared" si="25"/>
        <v>#DIV/0!</v>
      </c>
      <c r="I193" s="149" t="e">
        <f t="shared" si="16"/>
        <v>#DIV/0!</v>
      </c>
      <c r="J193" s="275" t="e">
        <f t="shared" si="17"/>
        <v>#DIV/0!</v>
      </c>
      <c r="K193" s="276" t="e">
        <f t="shared" si="18"/>
        <v>#DIV/0!</v>
      </c>
      <c r="L193" s="323" t="e">
        <f t="shared" si="19"/>
        <v>#DIV/0!</v>
      </c>
      <c r="T193" s="302" t="s">
        <v>193</v>
      </c>
      <c r="U193" s="209" t="s">
        <v>134</v>
      </c>
      <c r="V193" s="93">
        <f t="shared" si="27"/>
        <v>0</v>
      </c>
      <c r="W193" s="131">
        <f t="shared" si="27"/>
        <v>0</v>
      </c>
      <c r="X193" s="221">
        <f t="shared" si="28"/>
        <v>0</v>
      </c>
      <c r="Y193" s="222">
        <f t="shared" si="28"/>
        <v>0</v>
      </c>
      <c r="Z193" s="222">
        <f t="shared" si="29"/>
        <v>0</v>
      </c>
      <c r="AA193" s="228">
        <f t="shared" si="29"/>
        <v>0</v>
      </c>
      <c r="AB193" s="133">
        <f t="shared" si="30"/>
        <v>0</v>
      </c>
      <c r="AC193" s="300">
        <f t="shared" si="30"/>
        <v>0</v>
      </c>
    </row>
    <row r="194" spans="2:29" x14ac:dyDescent="0.2">
      <c r="B194" s="414"/>
      <c r="C194" s="302" t="s">
        <v>107</v>
      </c>
      <c r="D194" s="209" t="s">
        <v>204</v>
      </c>
      <c r="E194" s="147" t="e">
        <f t="shared" si="24"/>
        <v>#DIV/0!</v>
      </c>
      <c r="F194" s="148" t="e">
        <f t="shared" si="15"/>
        <v>#DIV/0!</v>
      </c>
      <c r="G194" s="148" t="e">
        <f t="shared" si="15"/>
        <v>#DIV/0!</v>
      </c>
      <c r="H194" s="148" t="e">
        <f t="shared" si="25"/>
        <v>#DIV/0!</v>
      </c>
      <c r="I194" s="149" t="e">
        <f t="shared" si="16"/>
        <v>#DIV/0!</v>
      </c>
      <c r="J194" s="275" t="e">
        <f t="shared" si="17"/>
        <v>#DIV/0!</v>
      </c>
      <c r="K194" s="276" t="e">
        <f t="shared" si="18"/>
        <v>#DIV/0!</v>
      </c>
      <c r="L194" s="323" t="e">
        <f t="shared" si="19"/>
        <v>#DIV/0!</v>
      </c>
      <c r="T194" s="302" t="s">
        <v>107</v>
      </c>
      <c r="U194" s="209" t="s">
        <v>134</v>
      </c>
      <c r="V194" s="93">
        <f t="shared" si="27"/>
        <v>0</v>
      </c>
      <c r="W194" s="131">
        <f t="shared" si="27"/>
        <v>0</v>
      </c>
      <c r="X194" s="221">
        <f t="shared" si="28"/>
        <v>0</v>
      </c>
      <c r="Y194" s="222">
        <f t="shared" si="28"/>
        <v>0</v>
      </c>
      <c r="Z194" s="222">
        <f t="shared" si="29"/>
        <v>0</v>
      </c>
      <c r="AA194" s="228">
        <f t="shared" si="29"/>
        <v>0</v>
      </c>
      <c r="AB194" s="133">
        <f t="shared" si="30"/>
        <v>0</v>
      </c>
      <c r="AC194" s="300">
        <f t="shared" si="30"/>
        <v>0</v>
      </c>
    </row>
    <row r="195" spans="2:29" x14ac:dyDescent="0.2">
      <c r="B195" s="414"/>
      <c r="C195" s="302" t="s">
        <v>132</v>
      </c>
      <c r="D195" s="209" t="s">
        <v>204</v>
      </c>
      <c r="E195" s="147" t="e">
        <f t="shared" si="24"/>
        <v>#DIV/0!</v>
      </c>
      <c r="F195" s="148" t="e">
        <f t="shared" si="15"/>
        <v>#DIV/0!</v>
      </c>
      <c r="G195" s="148" t="e">
        <f t="shared" si="15"/>
        <v>#DIV/0!</v>
      </c>
      <c r="H195" s="148" t="e">
        <f t="shared" si="25"/>
        <v>#DIV/0!</v>
      </c>
      <c r="I195" s="149" t="e">
        <f t="shared" si="16"/>
        <v>#DIV/0!</v>
      </c>
      <c r="J195" s="275" t="e">
        <f t="shared" si="17"/>
        <v>#DIV/0!</v>
      </c>
      <c r="K195" s="276" t="e">
        <f t="shared" si="18"/>
        <v>#DIV/0!</v>
      </c>
      <c r="L195" s="323" t="e">
        <f t="shared" si="19"/>
        <v>#DIV/0!</v>
      </c>
      <c r="T195" s="302" t="s">
        <v>132</v>
      </c>
      <c r="U195" s="209" t="s">
        <v>134</v>
      </c>
      <c r="V195" s="93">
        <f t="shared" si="27"/>
        <v>0</v>
      </c>
      <c r="W195" s="131">
        <f t="shared" si="27"/>
        <v>0</v>
      </c>
      <c r="X195" s="221">
        <f t="shared" si="28"/>
        <v>0</v>
      </c>
      <c r="Y195" s="222">
        <f t="shared" si="28"/>
        <v>0</v>
      </c>
      <c r="Z195" s="222">
        <f t="shared" si="29"/>
        <v>0</v>
      </c>
      <c r="AA195" s="228">
        <f t="shared" si="29"/>
        <v>0</v>
      </c>
      <c r="AB195" s="133">
        <f t="shared" si="30"/>
        <v>0</v>
      </c>
      <c r="AC195" s="300">
        <f t="shared" si="30"/>
        <v>0</v>
      </c>
    </row>
    <row r="196" spans="2:29" x14ac:dyDescent="0.2">
      <c r="B196" s="414"/>
      <c r="C196" s="302" t="s">
        <v>130</v>
      </c>
      <c r="D196" s="209" t="s">
        <v>204</v>
      </c>
      <c r="E196" s="147" t="e">
        <f t="shared" si="24"/>
        <v>#DIV/0!</v>
      </c>
      <c r="F196" s="148" t="e">
        <f t="shared" si="15"/>
        <v>#DIV/0!</v>
      </c>
      <c r="G196" s="148" t="e">
        <f t="shared" si="15"/>
        <v>#DIV/0!</v>
      </c>
      <c r="H196" s="148" t="e">
        <f t="shared" si="25"/>
        <v>#DIV/0!</v>
      </c>
      <c r="I196" s="149" t="e">
        <f t="shared" si="16"/>
        <v>#DIV/0!</v>
      </c>
      <c r="J196" s="275" t="e">
        <f t="shared" si="17"/>
        <v>#DIV/0!</v>
      </c>
      <c r="K196" s="276" t="e">
        <f t="shared" si="18"/>
        <v>#DIV/0!</v>
      </c>
      <c r="L196" s="323" t="e">
        <f t="shared" si="19"/>
        <v>#DIV/0!</v>
      </c>
      <c r="T196" s="302" t="s">
        <v>130</v>
      </c>
      <c r="U196" s="209" t="s">
        <v>134</v>
      </c>
      <c r="V196" s="93">
        <f t="shared" si="27"/>
        <v>0</v>
      </c>
      <c r="W196" s="131">
        <f t="shared" si="27"/>
        <v>0</v>
      </c>
      <c r="X196" s="221">
        <f t="shared" si="28"/>
        <v>0</v>
      </c>
      <c r="Y196" s="222">
        <f t="shared" si="28"/>
        <v>0</v>
      </c>
      <c r="Z196" s="222">
        <f t="shared" si="29"/>
        <v>0</v>
      </c>
      <c r="AA196" s="228">
        <f t="shared" si="29"/>
        <v>0</v>
      </c>
      <c r="AB196" s="133">
        <f t="shared" si="30"/>
        <v>0</v>
      </c>
      <c r="AC196" s="300">
        <f t="shared" si="30"/>
        <v>0</v>
      </c>
    </row>
    <row r="197" spans="2:29" x14ac:dyDescent="0.2">
      <c r="B197" s="414"/>
      <c r="C197" s="302" t="s">
        <v>201</v>
      </c>
      <c r="D197" s="209" t="s">
        <v>204</v>
      </c>
      <c r="E197" s="150" t="e">
        <f t="shared" si="24"/>
        <v>#DIV/0!</v>
      </c>
      <c r="F197" s="151" t="e">
        <f t="shared" si="15"/>
        <v>#DIV/0!</v>
      </c>
      <c r="G197" s="151" t="e">
        <f t="shared" si="15"/>
        <v>#DIV/0!</v>
      </c>
      <c r="H197" s="151" t="e">
        <f t="shared" si="25"/>
        <v>#DIV/0!</v>
      </c>
      <c r="I197" s="152" t="e">
        <f t="shared" si="16"/>
        <v>#DIV/0!</v>
      </c>
      <c r="J197" s="277" t="e">
        <f t="shared" si="17"/>
        <v>#DIV/0!</v>
      </c>
      <c r="K197" s="278" t="e">
        <f t="shared" si="18"/>
        <v>#DIV/0!</v>
      </c>
      <c r="L197" s="324" t="e">
        <f t="shared" si="19"/>
        <v>#DIV/0!</v>
      </c>
      <c r="T197" s="302" t="s">
        <v>201</v>
      </c>
      <c r="U197" s="209" t="s">
        <v>134</v>
      </c>
      <c r="V197" s="93">
        <f t="shared" si="27"/>
        <v>0</v>
      </c>
      <c r="W197" s="131">
        <f t="shared" si="27"/>
        <v>0</v>
      </c>
      <c r="X197" s="221">
        <f t="shared" si="28"/>
        <v>0</v>
      </c>
      <c r="Y197" s="222">
        <f t="shared" si="28"/>
        <v>0</v>
      </c>
      <c r="Z197" s="222">
        <f t="shared" si="29"/>
        <v>0</v>
      </c>
      <c r="AA197" s="228">
        <f t="shared" si="29"/>
        <v>0</v>
      </c>
      <c r="AB197" s="133">
        <f t="shared" si="30"/>
        <v>0</v>
      </c>
      <c r="AC197" s="300">
        <f t="shared" si="30"/>
        <v>0</v>
      </c>
    </row>
    <row r="198" spans="2:29" x14ac:dyDescent="0.2">
      <c r="B198" s="414"/>
      <c r="C198" s="301"/>
      <c r="L198" s="284"/>
      <c r="T198" s="301"/>
      <c r="AC198" s="284"/>
    </row>
    <row r="199" spans="2:29" ht="15" thickBot="1" x14ac:dyDescent="0.25">
      <c r="B199" s="415"/>
      <c r="C199" s="302" t="s">
        <v>209</v>
      </c>
      <c r="D199" s="209" t="s">
        <v>204</v>
      </c>
      <c r="E199" s="150" t="e">
        <f>AA199/$D$178</f>
        <v>#DIV/0!</v>
      </c>
      <c r="F199" s="151" t="e">
        <f>AB199/$D$178</f>
        <v>#DIV/0!</v>
      </c>
      <c r="G199" s="153" t="e">
        <f>AC199/$D$178</f>
        <v>#DIV/0!</v>
      </c>
      <c r="H199" s="151" t="e">
        <f>SUM(F199,E199)</f>
        <v>#DIV/0!</v>
      </c>
      <c r="I199" s="152" t="e">
        <f>SUM(E199:G199)</f>
        <v>#DIV/0!</v>
      </c>
      <c r="J199" s="277" t="e">
        <f>SUM(X199,Y199,Z199,AA199)/$D$178</f>
        <v>#DIV/0!</v>
      </c>
      <c r="K199" s="278" t="e">
        <f>SUM(H199,J199)</f>
        <v>#DIV/0!</v>
      </c>
      <c r="L199" s="324" t="e">
        <f>SUM(I199,J199)</f>
        <v>#DIV/0!</v>
      </c>
      <c r="T199" s="303" t="s">
        <v>209</v>
      </c>
      <c r="U199" s="304" t="s">
        <v>134</v>
      </c>
      <c r="V199" s="305"/>
      <c r="W199" s="306"/>
      <c r="X199" s="307"/>
      <c r="Y199" s="307"/>
      <c r="Z199" s="307"/>
      <c r="AA199" s="307"/>
      <c r="AB199" s="306"/>
      <c r="AC199" s="308">
        <f>SUM(AC89:AC96,AC107,AC112,AC114)</f>
        <v>0</v>
      </c>
    </row>
    <row r="200" spans="2:29" ht="15" thickBot="1" x14ac:dyDescent="0.25">
      <c r="C200" s="325" t="s">
        <v>211</v>
      </c>
      <c r="D200" s="304" t="s">
        <v>204</v>
      </c>
      <c r="E200" s="326" t="e">
        <f>E180-E199</f>
        <v>#DIV/0!</v>
      </c>
      <c r="F200" s="327" t="e">
        <f t="shared" ref="F200:L200" si="31">F180-F199</f>
        <v>#DIV/0!</v>
      </c>
      <c r="G200" s="327" t="e">
        <f t="shared" si="31"/>
        <v>#DIV/0!</v>
      </c>
      <c r="H200" s="328" t="e">
        <f t="shared" si="31"/>
        <v>#DIV/0!</v>
      </c>
      <c r="I200" s="329" t="e">
        <f t="shared" si="31"/>
        <v>#DIV/0!</v>
      </c>
      <c r="J200" s="330" t="e">
        <f t="shared" si="31"/>
        <v>#DIV/0!</v>
      </c>
      <c r="K200" s="331" t="e">
        <f t="shared" si="31"/>
        <v>#DIV/0!</v>
      </c>
      <c r="L200" s="332" t="e">
        <f t="shared" si="31"/>
        <v>#DIV/0!</v>
      </c>
    </row>
  </sheetData>
  <mergeCells count="45">
    <mergeCell ref="B178:B199"/>
    <mergeCell ref="T178:T180"/>
    <mergeCell ref="O86:R86"/>
    <mergeCell ref="S86:U87"/>
    <mergeCell ref="V86:AC86"/>
    <mergeCell ref="AD86:AD88"/>
    <mergeCell ref="L87:N87"/>
    <mergeCell ref="H177:I177"/>
    <mergeCell ref="K177:L177"/>
    <mergeCell ref="B78:C79"/>
    <mergeCell ref="G82:M82"/>
    <mergeCell ref="G83:M83"/>
    <mergeCell ref="B86:B88"/>
    <mergeCell ref="C86:C88"/>
    <mergeCell ref="D86:D88"/>
    <mergeCell ref="F86:G86"/>
    <mergeCell ref="H86:N86"/>
    <mergeCell ref="C68:C72"/>
    <mergeCell ref="B20:C20"/>
    <mergeCell ref="F20:H20"/>
    <mergeCell ref="G24:H24"/>
    <mergeCell ref="C25:C27"/>
    <mergeCell ref="G25:H41"/>
    <mergeCell ref="C28:C31"/>
    <mergeCell ref="C32:C34"/>
    <mergeCell ref="C35:C37"/>
    <mergeCell ref="C38:C41"/>
    <mergeCell ref="B44:D44"/>
    <mergeCell ref="C45:C48"/>
    <mergeCell ref="C49:C50"/>
    <mergeCell ref="C51:C63"/>
    <mergeCell ref="C64:C67"/>
    <mergeCell ref="B19:C19"/>
    <mergeCell ref="B5:C5"/>
    <mergeCell ref="B13:C13"/>
    <mergeCell ref="D13:H13"/>
    <mergeCell ref="B14:C14"/>
    <mergeCell ref="D14:H14"/>
    <mergeCell ref="B15:C15"/>
    <mergeCell ref="D15:H15"/>
    <mergeCell ref="B16:C16"/>
    <mergeCell ref="D16:H16"/>
    <mergeCell ref="B17:C17"/>
    <mergeCell ref="D17:H17"/>
    <mergeCell ref="B18:C18"/>
  </mergeCells>
  <conditionalFormatting sqref="E97">
    <cfRule type="cellIs" dxfId="6" priority="1" operator="equal">
      <formula>"na"</formula>
    </cfRule>
  </conditionalFormatting>
  <conditionalFormatting sqref="E113">
    <cfRule type="cellIs" dxfId="5" priority="3" operator="equal">
      <formula>"na"</formula>
    </cfRule>
  </conditionalFormatting>
  <conditionalFormatting sqref="E116:E117">
    <cfRule type="cellIs" dxfId="4" priority="2" operator="equal">
      <formula>"na"</formula>
    </cfRule>
  </conditionalFormatting>
  <conditionalFormatting sqref="E160:E162">
    <cfRule type="cellIs" dxfId="3" priority="4" operator="equal">
      <formula>"na"</formula>
    </cfRule>
  </conditionalFormatting>
  <conditionalFormatting sqref="E128:G131">
    <cfRule type="cellIs" dxfId="2" priority="5" operator="equal">
      <formula>"na"</formula>
    </cfRule>
  </conditionalFormatting>
  <conditionalFormatting sqref="H89:U89 H90:R173 U90:U173">
    <cfRule type="cellIs" dxfId="1" priority="6" operator="equal">
      <formula>"na"</formula>
    </cfRule>
  </conditionalFormatting>
  <dataValidations count="9">
    <dataValidation type="custom" allowBlank="1" showInputMessage="1" showErrorMessage="1" errorTitle="Data Format" error="The value entered does not match the format of cell._x000a__x000a_This is a fixed value cell. It should be left blank." sqref="J100:J105 J108:J110 J115:J118 J163:K163 K164:K169 J166:J173 N99:N101 N105 J113:M113 K108:M111 R163:R169 N170:N173 R155:R159 R113 Q174 R108:R111 R115:R117 R124 R98 N89 L163:M169 J98:N98 X174:AC174 J155:M159 K124:M124 K115:M117" xr:uid="{F92FD975-DBE1-514C-B556-B870C060E8AD}">
      <formula1>0</formula1>
    </dataValidation>
    <dataValidation type="textLength" showInputMessage="1" showErrorMessage="1" errorTitle="Data format" error="The value entered does not match the format of cell._x000a__x000a_Year value should be 4 integer digit. i.e. 2007" sqref="D43 D22:D40 E21 D13:D20" xr:uid="{0164BA9E-EEF1-F64A-B1E7-DF7898A47E21}">
      <formula1>4</formula1>
      <formula2>4</formula2>
    </dataValidation>
    <dataValidation type="custom" allowBlank="1" showInputMessage="1" showErrorMessage="1" errorTitle="Data format " error="The value entered does not match the format of cell._x000a_The value entered does not match the format of cell._x000a__x000a_This is a fixed value cell." sqref="R170:R171 K170:M171" xr:uid="{963CA364-95ED-D348-A96D-5AC6266C9449}">
      <formula1>1</formula1>
    </dataValidation>
    <dataValidation allowBlank="1" showInputMessage="1" showErrorMessage="1" errorTitle="Grid Not Recognized" error="The value entered does not correspond to one of the Sources of Electricity Grid Information accpeted by the worldsteel methodology." sqref="N155" xr:uid="{ACFC963A-85B8-954B-A26C-BC2A68A7B95C}"/>
    <dataValidation type="list" allowBlank="1" showInputMessage="1" showErrorMessage="1" errorTitle="Grid Not Recognized" error="The value entered does not correspond to one of the Sources of Electricity Grid Information accpeted by the worldsteel methodology." sqref="U155" xr:uid="{4ABBB5D1-EA0C-3D4A-8EBE-856872BB5665}">
      <formula1>$E$81:$E$83</formula1>
    </dataValidation>
    <dataValidation allowBlank="1" showInputMessage="1" showErrorMessage="1" prompt="add any information necessary to clarify the site structure" sqref="G82:G83" xr:uid="{FC986DE3-F88C-0645-B68E-388D73D0FCE3}"/>
    <dataValidation allowBlank="1" showInputMessage="1" showErrorMessage="1" errorTitle="Data Format" error="The value entered does not match the format of cell._x000a__x000a_This is a fixed value cell. It should be left blank." sqref="N90:N96 N112 N114" xr:uid="{BB6168C8-9D74-974D-8089-D34E5F49E4A8}"/>
    <dataValidation type="decimal" operator="greaterThan" allowBlank="1" showInputMessage="1" showErrorMessage="1" errorTitle="Wrong format" error="The minimum value allowed is 0.000001 (six decimal spaces).  " sqref="R172:R173 O89:Q173" xr:uid="{7AE6AE98-B31E-4E4D-994E-48CD907FE4D8}">
      <formula1>0.000001</formula1>
    </dataValidation>
    <dataValidation type="decimal" operator="greaterThan" allowBlank="1" showInputMessage="1" showErrorMessage="1" sqref="S90:U107 U89 S111:T111 S172:T172 S124:T124 S160:T162 U164:U173 U109:U154" xr:uid="{696A1A5A-876A-B048-A4AE-F78E4D22CFE5}">
      <formula1>0.000001</formula1>
    </dataValidation>
  </dataValidations>
  <pageMargins left="0.7" right="0.7" top="0.75" bottom="0.75" header="0.3" footer="0.3"/>
  <pageSetup paperSize="9" scale="2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A0BD7-DDB5-4B02-8BB7-1F7A21BA22F8}">
  <sheetPr>
    <tabColor theme="0" tint="-0.34998626667073579"/>
  </sheetPr>
  <dimension ref="A1:Y91"/>
  <sheetViews>
    <sheetView showGridLines="0" tabSelected="1" topLeftCell="E1" zoomScale="111" zoomScaleNormal="70" workbookViewId="0">
      <selection activeCell="A48" sqref="A48:XFD48"/>
    </sheetView>
  </sheetViews>
  <sheetFormatPr baseColWidth="10" defaultColWidth="8.83203125" defaultRowHeight="15" x14ac:dyDescent="0.2"/>
  <cols>
    <col min="1" max="1" width="5.6640625" bestFit="1" customWidth="1"/>
    <col min="2" max="2" width="1.33203125" customWidth="1"/>
    <col min="3" max="3" width="18" customWidth="1"/>
    <col min="4" max="4" width="8.33203125" customWidth="1"/>
    <col min="5" max="5" width="9.83203125" customWidth="1"/>
    <col min="6" max="6" width="22.1640625" customWidth="1"/>
    <col min="7" max="7" width="2.33203125" customWidth="1"/>
    <col min="8" max="8" width="9.83203125" customWidth="1"/>
    <col min="9" max="9" width="22.1640625" customWidth="1"/>
    <col min="10" max="10" width="2.33203125" customWidth="1"/>
    <col min="11" max="11" width="9.83203125" customWidth="1"/>
    <col min="12" max="12" width="22.1640625" customWidth="1"/>
    <col min="13" max="13" width="2.6640625" customWidth="1"/>
    <col min="14" max="14" width="9.83203125" customWidth="1"/>
    <col min="15" max="15" width="22.1640625" customWidth="1"/>
    <col min="16" max="16" width="2.33203125" customWidth="1"/>
    <col min="17" max="17" width="9.83203125" customWidth="1"/>
    <col min="18" max="18" width="22.83203125" customWidth="1"/>
    <col min="19" max="19" width="2.33203125" customWidth="1"/>
    <col min="20" max="20" width="9.83203125" customWidth="1"/>
    <col min="21" max="21" width="22.1640625" customWidth="1"/>
    <col min="22" max="22" width="2.33203125" customWidth="1"/>
    <col min="23" max="23" width="9.83203125" customWidth="1"/>
    <col min="24" max="24" width="22.1640625" customWidth="1"/>
  </cols>
  <sheetData>
    <row r="1" spans="1:24" x14ac:dyDescent="0.2">
      <c r="A1" s="25"/>
      <c r="B1" s="25"/>
    </row>
    <row r="2" spans="1:24" s="230" customFormat="1" ht="28" x14ac:dyDescent="0.35">
      <c r="A2" s="217"/>
      <c r="B2" s="217"/>
      <c r="C2" s="229" t="s">
        <v>298</v>
      </c>
      <c r="Q2" s="231"/>
    </row>
    <row r="3" spans="1:24" x14ac:dyDescent="0.2">
      <c r="A3" s="25"/>
      <c r="B3" s="25"/>
      <c r="C3" s="36"/>
    </row>
    <row r="4" spans="1:24" ht="16" x14ac:dyDescent="0.2">
      <c r="A4" s="25"/>
      <c r="B4" s="25"/>
      <c r="C4" s="127" t="s">
        <v>187</v>
      </c>
    </row>
    <row r="5" spans="1:24" x14ac:dyDescent="0.2">
      <c r="A5" s="25"/>
      <c r="B5" s="25"/>
      <c r="C5" s="128" t="s">
        <v>186</v>
      </c>
    </row>
    <row r="6" spans="1:24" x14ac:dyDescent="0.2">
      <c r="A6" s="25"/>
      <c r="B6" s="25"/>
      <c r="C6" s="128" t="s">
        <v>190</v>
      </c>
    </row>
    <row r="8" spans="1:24" ht="21" customHeight="1" x14ac:dyDescent="0.2">
      <c r="C8" s="440" t="s">
        <v>92</v>
      </c>
      <c r="D8" s="443" t="s">
        <v>93</v>
      </c>
      <c r="E8" s="446" t="s">
        <v>111</v>
      </c>
      <c r="F8" s="447"/>
      <c r="G8" s="447"/>
      <c r="H8" s="447"/>
      <c r="I8" s="447"/>
      <c r="J8" s="447"/>
      <c r="K8" s="447"/>
      <c r="L8" s="447"/>
      <c r="M8" s="447"/>
      <c r="N8" s="447"/>
      <c r="O8" s="447"/>
      <c r="P8" s="447"/>
      <c r="Q8" s="447"/>
      <c r="R8" s="447"/>
      <c r="S8" s="447"/>
      <c r="T8" s="447"/>
      <c r="U8" s="447"/>
      <c r="V8" s="447"/>
      <c r="W8" s="447"/>
      <c r="X8" s="448"/>
    </row>
    <row r="9" spans="1:24" ht="98" x14ac:dyDescent="0.2">
      <c r="C9" s="441"/>
      <c r="D9" s="444"/>
      <c r="E9" s="232" t="s">
        <v>108</v>
      </c>
      <c r="F9" s="233" t="s">
        <v>157</v>
      </c>
      <c r="G9" s="245"/>
      <c r="H9" s="232" t="s">
        <v>109</v>
      </c>
      <c r="I9" s="233" t="s">
        <v>158</v>
      </c>
      <c r="J9" s="245"/>
      <c r="K9" s="232" t="s">
        <v>4</v>
      </c>
      <c r="L9" s="233" t="s">
        <v>159</v>
      </c>
      <c r="M9" s="245"/>
      <c r="N9" s="235" t="s">
        <v>102</v>
      </c>
      <c r="O9" s="233" t="s">
        <v>160</v>
      </c>
      <c r="P9" s="246"/>
      <c r="Q9" s="449" t="s">
        <v>299</v>
      </c>
      <c r="R9" s="450"/>
      <c r="S9" s="246"/>
      <c r="T9" s="449" t="s">
        <v>300</v>
      </c>
      <c r="U9" s="450"/>
      <c r="V9" s="246"/>
      <c r="W9" s="235" t="s">
        <v>101</v>
      </c>
      <c r="X9" s="233" t="s">
        <v>161</v>
      </c>
    </row>
    <row r="10" spans="1:24" x14ac:dyDescent="0.2">
      <c r="C10" s="442"/>
      <c r="D10" s="445"/>
      <c r="E10" s="194" t="s">
        <v>12</v>
      </c>
      <c r="F10" s="194" t="s">
        <v>156</v>
      </c>
      <c r="G10" s="247"/>
      <c r="H10" s="194" t="s">
        <v>12</v>
      </c>
      <c r="I10" s="194" t="s">
        <v>156</v>
      </c>
      <c r="J10" s="247"/>
      <c r="K10" s="194" t="s">
        <v>11</v>
      </c>
      <c r="L10" s="194" t="s">
        <v>156</v>
      </c>
      <c r="M10" s="247"/>
      <c r="N10" s="194" t="s">
        <v>281</v>
      </c>
      <c r="O10" s="194" t="s">
        <v>156</v>
      </c>
      <c r="P10" s="247"/>
      <c r="Q10" s="194" t="s">
        <v>282</v>
      </c>
      <c r="R10" s="194" t="s">
        <v>156</v>
      </c>
      <c r="S10" s="247"/>
      <c r="T10" s="194" t="s">
        <v>283</v>
      </c>
      <c r="U10" s="194" t="s">
        <v>156</v>
      </c>
      <c r="V10" s="247"/>
      <c r="W10" s="194" t="s">
        <v>281</v>
      </c>
      <c r="X10" s="194" t="s">
        <v>156</v>
      </c>
    </row>
    <row r="11" spans="1:24" x14ac:dyDescent="0.2">
      <c r="A11" s="33"/>
      <c r="C11" s="243" t="s">
        <v>13</v>
      </c>
      <c r="D11" s="244" t="s">
        <v>14</v>
      </c>
      <c r="E11" s="239"/>
      <c r="F11" s="113"/>
      <c r="G11" s="112"/>
      <c r="H11" s="113"/>
      <c r="I11" s="113"/>
      <c r="J11" s="114"/>
      <c r="K11" s="115">
        <v>0.01</v>
      </c>
      <c r="L11" s="115" t="s">
        <v>162</v>
      </c>
      <c r="M11" s="116"/>
      <c r="N11" s="117">
        <f>ROUND(IF(K11&gt;0,44.01*K11/12.011,44.01*0.01/12.011),3)</f>
        <v>3.6999999999999998E-2</v>
      </c>
      <c r="O11" s="118" t="s">
        <v>162</v>
      </c>
      <c r="P11" s="119"/>
      <c r="Q11" s="120" t="s">
        <v>95</v>
      </c>
      <c r="R11" s="120"/>
      <c r="S11" s="121"/>
      <c r="T11" s="120" t="s">
        <v>95</v>
      </c>
      <c r="U11" s="120"/>
      <c r="V11" s="121"/>
      <c r="W11" s="122"/>
      <c r="X11" s="122"/>
    </row>
    <row r="12" spans="1:24" x14ac:dyDescent="0.2">
      <c r="A12" s="33"/>
      <c r="C12" s="234" t="s">
        <v>15</v>
      </c>
      <c r="D12" s="236" t="s">
        <v>14</v>
      </c>
      <c r="E12" s="240">
        <v>32.200000000000003</v>
      </c>
      <c r="F12" s="50" t="s">
        <v>163</v>
      </c>
      <c r="G12" s="99"/>
      <c r="H12" s="50"/>
      <c r="I12" s="50"/>
      <c r="J12" s="102"/>
      <c r="K12" s="50">
        <f>ROUND(3.059*12.011/44.01,3)</f>
        <v>0.83499999999999996</v>
      </c>
      <c r="L12" s="50" t="s">
        <v>163</v>
      </c>
      <c r="M12" s="102"/>
      <c r="N12" s="48">
        <f>ROUND(IF(K12&gt;0,44.01*K12/12.011,IF(E12&gt;0, E12, 32.2)*0.095),3)</f>
        <v>3.06</v>
      </c>
      <c r="O12" s="96" t="s">
        <v>163</v>
      </c>
      <c r="P12" s="106"/>
      <c r="Q12" s="87">
        <v>2.8199999999999997E-4</v>
      </c>
      <c r="R12" s="50" t="s">
        <v>172</v>
      </c>
      <c r="S12" s="109"/>
      <c r="T12" s="87">
        <v>4.2000000000000004E-5</v>
      </c>
      <c r="U12" s="50" t="s">
        <v>172</v>
      </c>
      <c r="V12" s="109"/>
      <c r="W12" s="86">
        <v>0.37</v>
      </c>
      <c r="X12" s="86" t="s">
        <v>163</v>
      </c>
    </row>
    <row r="13" spans="1:24" x14ac:dyDescent="0.2">
      <c r="A13" s="33"/>
      <c r="C13" s="234" t="s">
        <v>16</v>
      </c>
      <c r="D13" s="236" t="s">
        <v>14</v>
      </c>
      <c r="E13" s="240">
        <v>31.1</v>
      </c>
      <c r="F13" s="50" t="s">
        <v>163</v>
      </c>
      <c r="G13" s="99"/>
      <c r="H13" s="50"/>
      <c r="I13" s="50"/>
      <c r="J13" s="102"/>
      <c r="K13" s="50">
        <f>ROUND(2.955*12.011/44.01,3)</f>
        <v>0.80600000000000005</v>
      </c>
      <c r="L13" s="50" t="s">
        <v>163</v>
      </c>
      <c r="M13" s="102"/>
      <c r="N13" s="48">
        <f>ROUND(IF(K13&gt;0,44.01*K13/12.011,IF(E13&gt;0, E13,31.1)*0.095),3)</f>
        <v>2.9529999999999998</v>
      </c>
      <c r="O13" s="50" t="s">
        <v>163</v>
      </c>
      <c r="P13" s="106"/>
      <c r="Q13" s="87">
        <v>2.8199999999999997E-4</v>
      </c>
      <c r="R13" s="50" t="s">
        <v>172</v>
      </c>
      <c r="S13" s="109"/>
      <c r="T13" s="87">
        <v>3.8999999999999999E-5</v>
      </c>
      <c r="U13" s="50" t="s">
        <v>172</v>
      </c>
      <c r="V13" s="109"/>
      <c r="W13" s="86">
        <v>0.37</v>
      </c>
      <c r="X13" s="86" t="s">
        <v>163</v>
      </c>
    </row>
    <row r="14" spans="1:24" x14ac:dyDescent="0.2">
      <c r="A14" s="33"/>
      <c r="C14" s="234" t="s">
        <v>17</v>
      </c>
      <c r="D14" s="236" t="s">
        <v>14</v>
      </c>
      <c r="E14" s="240">
        <v>29.3</v>
      </c>
      <c r="F14" s="50" t="s">
        <v>163</v>
      </c>
      <c r="G14" s="99"/>
      <c r="H14" s="50"/>
      <c r="I14" s="50"/>
      <c r="J14" s="102"/>
      <c r="K14" s="50">
        <f>ROUND(2.784*12.011/44.01,3)</f>
        <v>0.76</v>
      </c>
      <c r="L14" s="50" t="s">
        <v>163</v>
      </c>
      <c r="M14" s="102"/>
      <c r="N14" s="48">
        <f>ROUND(IF(K14&gt;0,44.01*K14/12.011,IF(E14&gt;0, E14,29.3)*0.095),3)</f>
        <v>2.7850000000000001</v>
      </c>
      <c r="O14" s="50" t="s">
        <v>163</v>
      </c>
      <c r="P14" s="106"/>
      <c r="Q14" s="87">
        <v>2.5799999999999998E-4</v>
      </c>
      <c r="R14" s="50" t="s">
        <v>172</v>
      </c>
      <c r="S14" s="109"/>
      <c r="T14" s="87">
        <v>3.8999999999999999E-5</v>
      </c>
      <c r="U14" s="50" t="s">
        <v>172</v>
      </c>
      <c r="V14" s="109"/>
      <c r="W14" s="86">
        <v>0.37</v>
      </c>
      <c r="X14" s="86" t="s">
        <v>163</v>
      </c>
    </row>
    <row r="15" spans="1:24" x14ac:dyDescent="0.2">
      <c r="A15" s="33"/>
      <c r="C15" s="234" t="s">
        <v>18</v>
      </c>
      <c r="D15" s="236" t="s">
        <v>14</v>
      </c>
      <c r="E15" s="240">
        <v>25.9</v>
      </c>
      <c r="F15" s="50" t="s">
        <v>163</v>
      </c>
      <c r="G15" s="99"/>
      <c r="H15" s="50"/>
      <c r="I15" s="50"/>
      <c r="J15" s="102"/>
      <c r="K15" s="50">
        <f>ROUND(2.461*12.011/44.01,3)</f>
        <v>0.67200000000000004</v>
      </c>
      <c r="L15" s="50" t="s">
        <v>163</v>
      </c>
      <c r="M15" s="102"/>
      <c r="N15" s="48">
        <f>ROUND(IF(K15&gt;0,44.01*K15/12.011,IF(E15&gt;0, E15,25.9)*0.095),3)</f>
        <v>2.4620000000000002</v>
      </c>
      <c r="O15" s="50" t="s">
        <v>163</v>
      </c>
      <c r="P15" s="106"/>
      <c r="Q15" s="87">
        <v>2.5799999999999998E-4</v>
      </c>
      <c r="R15" s="50" t="s">
        <v>172</v>
      </c>
      <c r="S15" s="109"/>
      <c r="T15" s="87">
        <v>3.8999999999999999E-5</v>
      </c>
      <c r="U15" s="50" t="s">
        <v>172</v>
      </c>
      <c r="V15" s="109"/>
      <c r="W15" s="86">
        <v>0.37</v>
      </c>
      <c r="X15" s="86" t="s">
        <v>163</v>
      </c>
    </row>
    <row r="16" spans="1:24" x14ac:dyDescent="0.2">
      <c r="A16" s="33"/>
      <c r="C16" s="234" t="s">
        <v>19</v>
      </c>
      <c r="D16" s="236" t="s">
        <v>14</v>
      </c>
      <c r="E16" s="240">
        <v>30.1</v>
      </c>
      <c r="F16" s="50" t="s">
        <v>163</v>
      </c>
      <c r="G16" s="99"/>
      <c r="H16" s="50"/>
      <c r="I16" s="50"/>
      <c r="J16" s="102"/>
      <c r="K16" s="50">
        <f>ROUND(3.257*12.011/44.01,3)</f>
        <v>0.88900000000000001</v>
      </c>
      <c r="L16" s="50" t="s">
        <v>163</v>
      </c>
      <c r="M16" s="102"/>
      <c r="N16" s="48">
        <f>ROUND(IF(K16&gt;0,44.01*K16/12.011,IF(E16&gt;0, E16,30.1)*0.1082),3)</f>
        <v>3.2570000000000001</v>
      </c>
      <c r="O16" s="50" t="s">
        <v>163</v>
      </c>
      <c r="P16" s="106"/>
      <c r="Q16" s="87">
        <v>2.5799999999999998E-4</v>
      </c>
      <c r="R16" s="50" t="s">
        <v>172</v>
      </c>
      <c r="S16" s="109"/>
      <c r="T16" s="87">
        <v>3.8999999999999999E-5</v>
      </c>
      <c r="U16" s="50" t="s">
        <v>172</v>
      </c>
      <c r="V16" s="109"/>
      <c r="W16" s="86">
        <v>0.37</v>
      </c>
      <c r="X16" s="86" t="s">
        <v>163</v>
      </c>
    </row>
    <row r="17" spans="1:25" x14ac:dyDescent="0.2">
      <c r="A17" s="33"/>
      <c r="C17" s="234" t="s">
        <v>20</v>
      </c>
      <c r="D17" s="236" t="s">
        <v>14</v>
      </c>
      <c r="E17" s="240">
        <v>31.1</v>
      </c>
      <c r="F17" s="50" t="s">
        <v>162</v>
      </c>
      <c r="G17" s="99"/>
      <c r="H17" s="50"/>
      <c r="I17" s="50"/>
      <c r="J17" s="102"/>
      <c r="K17" s="50">
        <f>ROUND(2.955*12.011/44.01,3)</f>
        <v>0.80600000000000005</v>
      </c>
      <c r="L17" s="50" t="s">
        <v>162</v>
      </c>
      <c r="M17" s="102"/>
      <c r="N17" s="48">
        <f>ROUND(IF(K17&gt;0,44.01*K17/12.011,IF(E17&gt;0, E17,31.1)*0.095),3)</f>
        <v>2.9529999999999998</v>
      </c>
      <c r="O17" s="50" t="s">
        <v>162</v>
      </c>
      <c r="P17" s="106"/>
      <c r="Q17" s="87">
        <v>2.5799999999999998E-4</v>
      </c>
      <c r="R17" s="50" t="s">
        <v>172</v>
      </c>
      <c r="S17" s="109"/>
      <c r="T17" s="87">
        <v>3.8999999999999999E-5</v>
      </c>
      <c r="U17" s="50" t="s">
        <v>172</v>
      </c>
      <c r="V17" s="109"/>
      <c r="W17" s="86">
        <v>0.37</v>
      </c>
      <c r="X17" s="86" t="s">
        <v>163</v>
      </c>
    </row>
    <row r="18" spans="1:25" x14ac:dyDescent="0.2">
      <c r="A18" s="188"/>
      <c r="C18" s="234" t="s">
        <v>142</v>
      </c>
      <c r="D18" s="236" t="s">
        <v>14</v>
      </c>
      <c r="E18" s="240">
        <v>26.7</v>
      </c>
      <c r="F18" s="50" t="s">
        <v>172</v>
      </c>
      <c r="G18" s="99"/>
      <c r="H18" s="50"/>
      <c r="I18" s="50"/>
      <c r="J18" s="102"/>
      <c r="K18" s="50">
        <f>N18*12/44</f>
        <v>0.71563636363636363</v>
      </c>
      <c r="L18" s="50" t="s">
        <v>172</v>
      </c>
      <c r="M18" s="102"/>
      <c r="N18" s="48">
        <v>2.6240000000000001</v>
      </c>
      <c r="O18" s="50" t="s">
        <v>172</v>
      </c>
      <c r="P18" s="106"/>
      <c r="Q18" s="87">
        <v>2.8199999999999997E-4</v>
      </c>
      <c r="R18" s="50" t="s">
        <v>172</v>
      </c>
      <c r="S18" s="109"/>
      <c r="T18" s="87">
        <v>4.2000000000000004E-5</v>
      </c>
      <c r="U18" s="50" t="s">
        <v>172</v>
      </c>
      <c r="V18" s="109"/>
      <c r="W18" s="86">
        <v>0.37</v>
      </c>
      <c r="X18" s="86" t="s">
        <v>163</v>
      </c>
    </row>
    <row r="19" spans="1:25" x14ac:dyDescent="0.2">
      <c r="A19" s="25"/>
      <c r="C19" s="234" t="s">
        <v>21</v>
      </c>
      <c r="D19" s="236" t="s">
        <v>14</v>
      </c>
      <c r="E19" s="240">
        <v>30.1</v>
      </c>
      <c r="F19" s="50" t="s">
        <v>162</v>
      </c>
      <c r="G19" s="99"/>
      <c r="H19" s="50">
        <v>5.7191117260400208</v>
      </c>
      <c r="I19" s="124" t="s">
        <v>171</v>
      </c>
      <c r="J19" s="102"/>
      <c r="K19" s="50">
        <f>ROUND(3.257*12.011/44.01,3)</f>
        <v>0.88900000000000001</v>
      </c>
      <c r="L19" s="50" t="s">
        <v>162</v>
      </c>
      <c r="M19" s="102"/>
      <c r="N19" s="48">
        <f>ROUND(IF(K19&gt;0,44.01*K19/12.011,IF(E19&gt;0, E19,30.1)*0.1082),3)</f>
        <v>3.2570000000000001</v>
      </c>
      <c r="O19" s="96" t="s">
        <v>162</v>
      </c>
      <c r="P19" s="106"/>
      <c r="Q19" s="87">
        <v>5.9000000000000007E-3</v>
      </c>
      <c r="R19" s="50" t="s">
        <v>172</v>
      </c>
      <c r="S19" s="109"/>
      <c r="T19" s="87">
        <v>1.18E-4</v>
      </c>
      <c r="U19" s="50" t="s">
        <v>172</v>
      </c>
      <c r="V19" s="109"/>
      <c r="W19" s="57">
        <v>0.73599999999999999</v>
      </c>
      <c r="X19" s="57" t="s">
        <v>174</v>
      </c>
    </row>
    <row r="20" spans="1:25" x14ac:dyDescent="0.2">
      <c r="A20" s="33"/>
      <c r="C20" s="234" t="s">
        <v>22</v>
      </c>
      <c r="D20" s="236" t="s">
        <v>14</v>
      </c>
      <c r="E20" s="241">
        <v>18.8</v>
      </c>
      <c r="F20" s="50" t="s">
        <v>162</v>
      </c>
      <c r="G20" s="100"/>
      <c r="H20" s="48"/>
      <c r="I20" s="48"/>
      <c r="J20" s="103"/>
      <c r="K20" s="50"/>
      <c r="L20" s="50"/>
      <c r="M20" s="102"/>
      <c r="N20" s="48"/>
      <c r="O20" s="96"/>
      <c r="P20" s="106"/>
      <c r="Q20" s="87">
        <v>9.800000000000001E-5</v>
      </c>
      <c r="R20" s="50" t="s">
        <v>172</v>
      </c>
      <c r="S20" s="109"/>
      <c r="T20" s="87">
        <v>2.0000000000000002E-5</v>
      </c>
      <c r="U20" s="50" t="s">
        <v>172</v>
      </c>
      <c r="V20" s="109"/>
      <c r="W20" s="57"/>
      <c r="X20" s="57"/>
    </row>
    <row r="21" spans="1:25" x14ac:dyDescent="0.2">
      <c r="A21" s="35"/>
      <c r="C21" s="234" t="s">
        <v>72</v>
      </c>
      <c r="D21" s="236" t="s">
        <v>27</v>
      </c>
      <c r="E21" s="241">
        <v>31.934999999999999</v>
      </c>
      <c r="F21" s="48" t="s">
        <v>164</v>
      </c>
      <c r="G21" s="100"/>
      <c r="H21" s="48"/>
      <c r="I21" s="48"/>
      <c r="J21" s="103"/>
      <c r="K21" s="50">
        <v>0.85</v>
      </c>
      <c r="L21" s="50" t="s">
        <v>164</v>
      </c>
      <c r="M21" s="102"/>
      <c r="N21" s="48">
        <f>ROUND(IF(K21&gt;0,44.01*K21/12.011,IF(E21&gt;0, E21,31.935)*0.098),3)</f>
        <v>3.1150000000000002</v>
      </c>
      <c r="O21" s="50" t="s">
        <v>164</v>
      </c>
      <c r="P21" s="106"/>
      <c r="Q21" s="87">
        <v>2.6999999999999999E-5</v>
      </c>
      <c r="R21" s="50" t="s">
        <v>172</v>
      </c>
      <c r="S21" s="109"/>
      <c r="T21" s="87">
        <v>4.0000000000000003E-5</v>
      </c>
      <c r="U21" s="50" t="s">
        <v>172</v>
      </c>
      <c r="V21" s="109"/>
      <c r="W21" s="57"/>
      <c r="X21" s="57"/>
    </row>
    <row r="22" spans="1:25" x14ac:dyDescent="0.2">
      <c r="A22" s="35"/>
      <c r="C22" s="234" t="s">
        <v>89</v>
      </c>
      <c r="D22" s="236" t="s">
        <v>27</v>
      </c>
      <c r="E22" s="241">
        <v>46</v>
      </c>
      <c r="F22" s="48" t="s">
        <v>164</v>
      </c>
      <c r="G22" s="100"/>
      <c r="H22" s="48"/>
      <c r="I22" s="48"/>
      <c r="J22" s="103"/>
      <c r="K22" s="58"/>
      <c r="L22" s="58"/>
      <c r="M22" s="105"/>
      <c r="N22" s="48">
        <f>IF(E22&gt;0,ROUND(E22*0.052521739,3),ROUND(2.4158,3))</f>
        <v>2.4159999999999999</v>
      </c>
      <c r="O22" s="50" t="s">
        <v>164</v>
      </c>
      <c r="P22" s="106"/>
      <c r="Q22" s="87" t="s">
        <v>95</v>
      </c>
      <c r="R22" s="87"/>
      <c r="S22" s="109"/>
      <c r="T22" s="87" t="s">
        <v>95</v>
      </c>
      <c r="U22" s="87"/>
      <c r="V22" s="109"/>
      <c r="W22" s="57"/>
      <c r="X22" s="57"/>
    </row>
    <row r="23" spans="1:25" x14ac:dyDescent="0.2">
      <c r="A23" s="35"/>
      <c r="C23" s="234" t="s">
        <v>88</v>
      </c>
      <c r="D23" s="236" t="s">
        <v>27</v>
      </c>
      <c r="E23" s="241">
        <v>35</v>
      </c>
      <c r="F23" s="48" t="s">
        <v>164</v>
      </c>
      <c r="G23" s="100"/>
      <c r="H23" s="48"/>
      <c r="I23" s="48"/>
      <c r="J23" s="103"/>
      <c r="K23" s="58"/>
      <c r="L23" s="58"/>
      <c r="M23" s="105"/>
      <c r="N23" s="48">
        <f>IF(E23&gt;0,ROUND(E23*0.062828571,3),ROUND(2.1985,3))</f>
        <v>2.1989999999999998</v>
      </c>
      <c r="O23" s="50" t="s">
        <v>164</v>
      </c>
      <c r="P23" s="106"/>
      <c r="Q23" s="87" t="s">
        <v>95</v>
      </c>
      <c r="R23" s="87"/>
      <c r="S23" s="109"/>
      <c r="T23" s="87" t="s">
        <v>95</v>
      </c>
      <c r="U23" s="87"/>
      <c r="V23" s="109"/>
      <c r="W23" s="57"/>
      <c r="X23" s="57"/>
    </row>
    <row r="24" spans="1:25" ht="17" x14ac:dyDescent="0.2">
      <c r="A24" s="35"/>
      <c r="C24" s="234" t="s">
        <v>23</v>
      </c>
      <c r="D24" s="236" t="s">
        <v>112</v>
      </c>
      <c r="E24" s="241">
        <v>37.700000000000003</v>
      </c>
      <c r="F24" s="48" t="s">
        <v>163</v>
      </c>
      <c r="G24" s="100"/>
      <c r="H24" s="48"/>
      <c r="I24" s="48"/>
      <c r="J24" s="103"/>
      <c r="K24" s="58"/>
      <c r="L24" s="58"/>
      <c r="M24" s="105"/>
      <c r="N24" s="48">
        <f>IF(E24&gt;0,ROUND(E24*0.0771,3),ROUND(37.7*0.0771,3))</f>
        <v>2.907</v>
      </c>
      <c r="O24" s="96" t="s">
        <v>163</v>
      </c>
      <c r="P24" s="106"/>
      <c r="Q24" s="87">
        <v>1.13E-4</v>
      </c>
      <c r="R24" s="87" t="s">
        <v>173</v>
      </c>
      <c r="S24" s="109"/>
      <c r="T24" s="87">
        <v>2.3E-5</v>
      </c>
      <c r="U24" s="87" t="s">
        <v>173</v>
      </c>
      <c r="V24" s="109"/>
      <c r="W24" s="57">
        <f>ROUND(IF(W25&gt;0,W25,0.247)*N24/N25,3)</f>
        <v>0.27600000000000002</v>
      </c>
      <c r="X24" s="57" t="s">
        <v>163</v>
      </c>
    </row>
    <row r="25" spans="1:25" ht="17" x14ac:dyDescent="0.2">
      <c r="A25" s="35"/>
      <c r="C25" s="234" t="s">
        <v>24</v>
      </c>
      <c r="D25" s="236" t="s">
        <v>112</v>
      </c>
      <c r="E25" s="241">
        <v>35.1</v>
      </c>
      <c r="F25" s="48" t="s">
        <v>163</v>
      </c>
      <c r="G25" s="100"/>
      <c r="H25" s="48"/>
      <c r="I25" s="48"/>
      <c r="J25" s="103"/>
      <c r="K25" s="58"/>
      <c r="L25" s="58"/>
      <c r="M25" s="105"/>
      <c r="N25" s="48">
        <f>IF(E25&gt;0,ROUND(E25*0.0741,3),ROUND(35.1*0.0741,3))</f>
        <v>2.601</v>
      </c>
      <c r="O25" s="96" t="s">
        <v>163</v>
      </c>
      <c r="P25" s="106"/>
      <c r="Q25" s="87">
        <v>1.05E-4</v>
      </c>
      <c r="R25" s="87" t="s">
        <v>173</v>
      </c>
      <c r="S25" s="109"/>
      <c r="T25" s="87">
        <v>2.0999999999999999E-5</v>
      </c>
      <c r="U25" s="87" t="s">
        <v>173</v>
      </c>
      <c r="V25" s="109"/>
      <c r="W25" s="57">
        <f>ROUND(0.85*0.29,3)</f>
        <v>0.247</v>
      </c>
      <c r="X25" s="57" t="s">
        <v>163</v>
      </c>
    </row>
    <row r="26" spans="1:25" ht="17" x14ac:dyDescent="0.2">
      <c r="A26" s="35"/>
      <c r="C26" s="234" t="s">
        <v>25</v>
      </c>
      <c r="D26" s="236" t="s">
        <v>112</v>
      </c>
      <c r="E26" s="241">
        <v>34.700000000000003</v>
      </c>
      <c r="F26" s="48" t="s">
        <v>163</v>
      </c>
      <c r="G26" s="100"/>
      <c r="H26" s="48"/>
      <c r="I26" s="48"/>
      <c r="J26" s="103"/>
      <c r="K26" s="58"/>
      <c r="L26" s="58"/>
      <c r="M26" s="105"/>
      <c r="N26" s="48">
        <f>IF(E26&gt;0,ROUND(E26*0.0715,3),ROUND(34.7*0.0715,3))</f>
        <v>2.4809999999999999</v>
      </c>
      <c r="O26" s="96" t="s">
        <v>163</v>
      </c>
      <c r="P26" s="106"/>
      <c r="Q26" s="87">
        <v>1.0399999999999999E-4</v>
      </c>
      <c r="R26" s="87" t="s">
        <v>173</v>
      </c>
      <c r="S26" s="109"/>
      <c r="T26" s="87">
        <v>2.0999999999999999E-5</v>
      </c>
      <c r="U26" s="87" t="s">
        <v>173</v>
      </c>
      <c r="V26" s="109"/>
      <c r="W26" s="57">
        <f>ROUND(0.85*0.29,3)</f>
        <v>0.247</v>
      </c>
      <c r="X26" s="57" t="s">
        <v>163</v>
      </c>
    </row>
    <row r="27" spans="1:25" x14ac:dyDescent="0.2">
      <c r="A27" s="35"/>
      <c r="C27" s="234" t="s">
        <v>26</v>
      </c>
      <c r="D27" s="236" t="s">
        <v>27</v>
      </c>
      <c r="E27" s="241">
        <v>47.3</v>
      </c>
      <c r="F27" s="48" t="s">
        <v>163</v>
      </c>
      <c r="G27" s="100"/>
      <c r="H27" s="48"/>
      <c r="I27" s="48"/>
      <c r="J27" s="103"/>
      <c r="K27" s="58"/>
      <c r="L27" s="58"/>
      <c r="M27" s="105"/>
      <c r="N27" s="48">
        <f>IF(E27&gt;0,ROUND(E27*0.0631,3),ROUND(47.3*0.0631,0))</f>
        <v>2.9849999999999999</v>
      </c>
      <c r="O27" s="96" t="s">
        <v>163</v>
      </c>
      <c r="P27" s="106"/>
      <c r="Q27" s="87">
        <v>4.6999999999999997E-5</v>
      </c>
      <c r="R27" s="87" t="s">
        <v>173</v>
      </c>
      <c r="S27" s="109"/>
      <c r="T27" s="87">
        <v>5.0000000000000004E-6</v>
      </c>
      <c r="U27" s="87" t="s">
        <v>173</v>
      </c>
      <c r="V27" s="109"/>
      <c r="W27" s="57"/>
      <c r="X27" s="57"/>
    </row>
    <row r="28" spans="1:25" ht="17" x14ac:dyDescent="0.2">
      <c r="A28" s="35"/>
      <c r="C28" s="234" t="s">
        <v>28</v>
      </c>
      <c r="D28" s="236" t="s">
        <v>115</v>
      </c>
      <c r="E28" s="240">
        <v>35.9</v>
      </c>
      <c r="F28" s="50" t="s">
        <v>162</v>
      </c>
      <c r="G28" s="99"/>
      <c r="H28" s="50"/>
      <c r="I28" s="50"/>
      <c r="J28" s="102"/>
      <c r="K28" s="50">
        <f>ROUND(2.014*12.011/44.01,3)</f>
        <v>0.55000000000000004</v>
      </c>
      <c r="L28" s="50" t="s">
        <v>162</v>
      </c>
      <c r="M28" s="102"/>
      <c r="N28" s="48">
        <f>ROUND(IF(K28&gt;0,44.01*K28/12.011,IF(E28&gt;0, E28,35.9)*0.0561),3)</f>
        <v>2.0150000000000001</v>
      </c>
      <c r="O28" s="96" t="s">
        <v>162</v>
      </c>
      <c r="P28" s="106"/>
      <c r="Q28" s="87">
        <v>1.08E-4</v>
      </c>
      <c r="R28" s="87" t="s">
        <v>173</v>
      </c>
      <c r="S28" s="109"/>
      <c r="T28" s="87">
        <v>2.1999999999999999E-5</v>
      </c>
      <c r="U28" s="87" t="s">
        <v>173</v>
      </c>
      <c r="V28" s="109"/>
      <c r="W28" s="57">
        <f>ROUND(N28*0.33,3)</f>
        <v>0.66500000000000004</v>
      </c>
      <c r="X28" s="57" t="s">
        <v>162</v>
      </c>
    </row>
    <row r="29" spans="1:25" x14ac:dyDescent="0.2">
      <c r="A29" s="35"/>
      <c r="C29" s="234" t="s">
        <v>29</v>
      </c>
      <c r="D29" s="237" t="s">
        <v>115</v>
      </c>
      <c r="E29" s="240">
        <v>35.9</v>
      </c>
      <c r="F29" s="50" t="s">
        <v>163</v>
      </c>
      <c r="G29" s="99"/>
      <c r="H29" s="50"/>
      <c r="I29" s="50"/>
      <c r="J29" s="102"/>
      <c r="K29" s="50">
        <f>ROUND(2.014*12.011/44.01,3)</f>
        <v>0.55000000000000004</v>
      </c>
      <c r="L29" s="50" t="s">
        <v>163</v>
      </c>
      <c r="M29" s="102"/>
      <c r="N29" s="48">
        <f>ROUND(IF(K29&gt;0,44.01*K29/12.011,IF(E29&gt;0, E29,35.9)*0.0561),3)</f>
        <v>2.0150000000000001</v>
      </c>
      <c r="O29" s="96" t="s">
        <v>163</v>
      </c>
      <c r="P29" s="106"/>
      <c r="Q29" s="87">
        <v>3.6000000000000001E-5</v>
      </c>
      <c r="R29" s="87" t="s">
        <v>173</v>
      </c>
      <c r="S29" s="109"/>
      <c r="T29" s="87">
        <v>3.9999999999999998E-6</v>
      </c>
      <c r="U29" s="87" t="s">
        <v>173</v>
      </c>
      <c r="V29" s="109"/>
      <c r="W29" s="86">
        <v>0.6</v>
      </c>
      <c r="X29" s="86" t="s">
        <v>163</v>
      </c>
    </row>
    <row r="30" spans="1:25" x14ac:dyDescent="0.2">
      <c r="A30" s="35"/>
      <c r="C30" s="234" t="s">
        <v>73</v>
      </c>
      <c r="D30" s="236" t="s">
        <v>27</v>
      </c>
      <c r="E30" s="241">
        <v>120</v>
      </c>
      <c r="F30" s="48" t="s">
        <v>162</v>
      </c>
      <c r="G30" s="100"/>
      <c r="H30" s="48"/>
      <c r="I30" s="48"/>
      <c r="J30" s="103"/>
      <c r="K30" s="58"/>
      <c r="L30" s="58"/>
      <c r="M30" s="105"/>
      <c r="N30" s="48"/>
      <c r="O30" s="96"/>
      <c r="P30" s="106"/>
      <c r="Q30" s="87" t="s">
        <v>95</v>
      </c>
      <c r="R30" s="87"/>
      <c r="S30" s="109"/>
      <c r="T30" s="87" t="s">
        <v>95</v>
      </c>
      <c r="U30" s="87"/>
      <c r="V30" s="109"/>
      <c r="W30" s="57">
        <v>0</v>
      </c>
      <c r="X30" s="57" t="s">
        <v>162</v>
      </c>
    </row>
    <row r="31" spans="1:25" x14ac:dyDescent="0.2">
      <c r="A31" s="35"/>
      <c r="C31" s="234" t="s">
        <v>74</v>
      </c>
      <c r="D31" s="236" t="s">
        <v>27</v>
      </c>
      <c r="E31" s="241">
        <v>120</v>
      </c>
      <c r="F31" s="48" t="s">
        <v>162</v>
      </c>
      <c r="G31" s="100"/>
      <c r="H31" s="48"/>
      <c r="I31" s="48"/>
      <c r="J31" s="103"/>
      <c r="K31" s="58"/>
      <c r="L31" s="58"/>
      <c r="M31" s="105"/>
      <c r="N31" s="48"/>
      <c r="O31" s="96"/>
      <c r="P31" s="106"/>
      <c r="Q31" s="87" t="s">
        <v>95</v>
      </c>
      <c r="R31" s="87"/>
      <c r="S31" s="109"/>
      <c r="T31" s="87" t="s">
        <v>95</v>
      </c>
      <c r="U31" s="87"/>
      <c r="V31" s="109"/>
      <c r="W31" s="57">
        <v>1.8</v>
      </c>
      <c r="X31" s="57" t="s">
        <v>162</v>
      </c>
    </row>
    <row r="32" spans="1:25" x14ac:dyDescent="0.2">
      <c r="A32" s="35"/>
      <c r="C32" s="234" t="s">
        <v>75</v>
      </c>
      <c r="D32" s="236" t="s">
        <v>27</v>
      </c>
      <c r="E32" s="241">
        <v>120</v>
      </c>
      <c r="F32" s="48" t="s">
        <v>162</v>
      </c>
      <c r="G32" s="100"/>
      <c r="H32" s="48"/>
      <c r="I32" s="48"/>
      <c r="J32" s="103"/>
      <c r="K32" s="58"/>
      <c r="L32" s="58"/>
      <c r="M32" s="105"/>
      <c r="N32" s="48"/>
      <c r="O32" s="96"/>
      <c r="P32" s="106"/>
      <c r="Q32" s="87" t="s">
        <v>95</v>
      </c>
      <c r="R32" s="87"/>
      <c r="S32" s="109"/>
      <c r="T32" s="87" t="s">
        <v>95</v>
      </c>
      <c r="U32" s="87"/>
      <c r="V32" s="109"/>
      <c r="W32" s="57">
        <v>19.8</v>
      </c>
      <c r="X32" s="126" t="s">
        <v>170</v>
      </c>
      <c r="Y32" s="125"/>
    </row>
    <row r="33" spans="1:24" x14ac:dyDescent="0.2">
      <c r="A33" s="35"/>
      <c r="C33" s="234" t="s">
        <v>84</v>
      </c>
      <c r="D33" s="236" t="s">
        <v>27</v>
      </c>
      <c r="E33" s="241">
        <v>50.4</v>
      </c>
      <c r="F33" s="48" t="s">
        <v>162</v>
      </c>
      <c r="G33" s="100"/>
      <c r="H33" s="48"/>
      <c r="I33" s="48"/>
      <c r="J33" s="103"/>
      <c r="K33" s="50">
        <v>0.751</v>
      </c>
      <c r="L33" s="50" t="s">
        <v>162</v>
      </c>
      <c r="M33" s="102"/>
      <c r="N33" s="48"/>
      <c r="O33" s="96"/>
      <c r="P33" s="106"/>
      <c r="Q33" s="87">
        <v>5.0000000000000002E-5</v>
      </c>
      <c r="R33" s="87" t="s">
        <v>173</v>
      </c>
      <c r="S33" s="109"/>
      <c r="T33" s="87">
        <v>5.0000000000000004E-6</v>
      </c>
      <c r="U33" s="87" t="s">
        <v>173</v>
      </c>
      <c r="V33" s="109"/>
      <c r="W33" s="57">
        <v>0</v>
      </c>
      <c r="X33" s="57" t="s">
        <v>162</v>
      </c>
    </row>
    <row r="34" spans="1:24" x14ac:dyDescent="0.2">
      <c r="A34" s="35"/>
      <c r="C34" s="234" t="s">
        <v>30</v>
      </c>
      <c r="D34" s="236" t="s">
        <v>14</v>
      </c>
      <c r="E34" s="241"/>
      <c r="F34" s="48"/>
      <c r="G34" s="100"/>
      <c r="H34" s="48"/>
      <c r="I34" s="48"/>
      <c r="J34" s="103"/>
      <c r="K34" s="48">
        <f>ROUND(0.4404*12.011/44.01,3)</f>
        <v>0.12</v>
      </c>
      <c r="L34" s="48" t="s">
        <v>165</v>
      </c>
      <c r="M34" s="103"/>
      <c r="N34" s="48">
        <f>ROUND(IF(K34&gt;0,44.01*K34/12.011,44.01*0.12/12.011),3)</f>
        <v>0.44</v>
      </c>
      <c r="O34" s="96" t="s">
        <v>169</v>
      </c>
      <c r="P34" s="106"/>
      <c r="Q34" s="87" t="s">
        <v>95</v>
      </c>
      <c r="R34" s="87"/>
      <c r="S34" s="109"/>
      <c r="T34" s="87" t="s">
        <v>95</v>
      </c>
      <c r="U34" s="87"/>
      <c r="V34" s="109"/>
      <c r="W34" s="86">
        <v>2.3289997999999999E-2</v>
      </c>
      <c r="X34" s="126" t="s">
        <v>191</v>
      </c>
    </row>
    <row r="35" spans="1:24" x14ac:dyDescent="0.2">
      <c r="A35" s="35"/>
      <c r="C35" s="234" t="s">
        <v>31</v>
      </c>
      <c r="D35" s="236" t="s">
        <v>27</v>
      </c>
      <c r="E35" s="241"/>
      <c r="F35" s="48"/>
      <c r="G35" s="100"/>
      <c r="H35" s="48">
        <v>4.5</v>
      </c>
      <c r="I35" s="48" t="s">
        <v>162</v>
      </c>
      <c r="J35" s="103"/>
      <c r="K35" s="58"/>
      <c r="L35" s="58"/>
      <c r="M35" s="105"/>
      <c r="N35" s="48"/>
      <c r="O35" s="96"/>
      <c r="P35" s="106"/>
      <c r="Q35" s="87" t="s">
        <v>95</v>
      </c>
      <c r="R35" s="87"/>
      <c r="S35" s="109"/>
      <c r="T35" s="87" t="s">
        <v>95</v>
      </c>
      <c r="U35" s="87"/>
      <c r="V35" s="109"/>
      <c r="W35" s="57">
        <v>0.95</v>
      </c>
      <c r="X35" s="57" t="s">
        <v>162</v>
      </c>
    </row>
    <row r="36" spans="1:24" x14ac:dyDescent="0.2">
      <c r="A36" s="35"/>
      <c r="C36" s="234" t="s">
        <v>32</v>
      </c>
      <c r="D36" s="236" t="s">
        <v>14</v>
      </c>
      <c r="E36" s="241"/>
      <c r="F36" s="48"/>
      <c r="G36" s="100"/>
      <c r="H36" s="48"/>
      <c r="I36" s="48"/>
      <c r="J36" s="103"/>
      <c r="K36" s="50">
        <f>ROUND(0.4771*12.011/44.01,3)</f>
        <v>0.13</v>
      </c>
      <c r="L36" s="50" t="s">
        <v>162</v>
      </c>
      <c r="M36" s="102"/>
      <c r="N36" s="48">
        <f>ROUND(IF(K36&gt;0,44.01*K36/12.011,44.01*0.13/12.011),3)</f>
        <v>0.47599999999999998</v>
      </c>
      <c r="O36" s="96" t="s">
        <v>162</v>
      </c>
      <c r="P36" s="106"/>
      <c r="Q36" s="87" t="s">
        <v>95</v>
      </c>
      <c r="R36" s="87"/>
      <c r="S36" s="109"/>
      <c r="T36" s="87" t="s">
        <v>95</v>
      </c>
      <c r="U36" s="87"/>
      <c r="V36" s="109"/>
      <c r="W36" s="86">
        <v>2.3289997999999999E-2</v>
      </c>
      <c r="X36" s="126" t="s">
        <v>191</v>
      </c>
    </row>
    <row r="37" spans="1:24" x14ac:dyDescent="0.2">
      <c r="A37" s="35"/>
      <c r="C37" s="234" t="s">
        <v>33</v>
      </c>
      <c r="D37" s="236" t="s">
        <v>27</v>
      </c>
      <c r="E37" s="241"/>
      <c r="F37" s="48"/>
      <c r="G37" s="100"/>
      <c r="H37" s="48">
        <v>4.5</v>
      </c>
      <c r="I37" s="48" t="s">
        <v>162</v>
      </c>
      <c r="J37" s="103"/>
      <c r="K37" s="58"/>
      <c r="L37" s="58"/>
      <c r="M37" s="105"/>
      <c r="N37" s="48"/>
      <c r="O37" s="96"/>
      <c r="P37" s="106"/>
      <c r="Q37" s="87" t="s">
        <v>95</v>
      </c>
      <c r="R37" s="87"/>
      <c r="S37" s="109"/>
      <c r="T37" s="87" t="s">
        <v>95</v>
      </c>
      <c r="U37" s="87"/>
      <c r="V37" s="109"/>
      <c r="W37" s="57">
        <v>1.1000000000000001</v>
      </c>
      <c r="X37" s="57" t="s">
        <v>162</v>
      </c>
    </row>
    <row r="38" spans="1:24" x14ac:dyDescent="0.2">
      <c r="A38" s="35"/>
      <c r="C38" s="234" t="s">
        <v>34</v>
      </c>
      <c r="D38" s="236" t="s">
        <v>27</v>
      </c>
      <c r="E38" s="241"/>
      <c r="F38" s="48"/>
      <c r="G38" s="100"/>
      <c r="H38" s="48">
        <v>2.4500000000000002</v>
      </c>
      <c r="I38" s="48" t="s">
        <v>162</v>
      </c>
      <c r="J38" s="103"/>
      <c r="K38" s="58"/>
      <c r="L38" s="58"/>
      <c r="M38" s="105"/>
      <c r="N38" s="48"/>
      <c r="O38" s="96"/>
      <c r="P38" s="106"/>
      <c r="Q38" s="87" t="s">
        <v>95</v>
      </c>
      <c r="R38" s="87"/>
      <c r="S38" s="109"/>
      <c r="T38" s="87" t="s">
        <v>95</v>
      </c>
      <c r="U38" s="87"/>
      <c r="V38" s="109"/>
      <c r="W38" s="57">
        <v>0.26200000000000001</v>
      </c>
      <c r="X38" s="57" t="s">
        <v>162</v>
      </c>
    </row>
    <row r="39" spans="1:24" x14ac:dyDescent="0.2">
      <c r="A39" s="35"/>
      <c r="C39" s="234" t="s">
        <v>35</v>
      </c>
      <c r="D39" s="236" t="s">
        <v>27</v>
      </c>
      <c r="E39" s="241"/>
      <c r="F39" s="48"/>
      <c r="G39" s="100"/>
      <c r="H39" s="48">
        <v>2.1</v>
      </c>
      <c r="I39" s="48" t="s">
        <v>162</v>
      </c>
      <c r="J39" s="103"/>
      <c r="K39" s="58"/>
      <c r="L39" s="58"/>
      <c r="M39" s="105"/>
      <c r="N39" s="48"/>
      <c r="O39" s="96"/>
      <c r="P39" s="106"/>
      <c r="Q39" s="87" t="s">
        <v>95</v>
      </c>
      <c r="R39" s="87"/>
      <c r="S39" s="109"/>
      <c r="T39" s="87" t="s">
        <v>95</v>
      </c>
      <c r="U39" s="87"/>
      <c r="V39" s="109"/>
      <c r="W39" s="57">
        <v>0.13700000000000001</v>
      </c>
      <c r="X39" s="57" t="s">
        <v>162</v>
      </c>
    </row>
    <row r="40" spans="1:24" x14ac:dyDescent="0.2">
      <c r="A40" s="35"/>
      <c r="C40" s="234" t="s">
        <v>36</v>
      </c>
      <c r="D40" s="236" t="s">
        <v>27</v>
      </c>
      <c r="E40" s="241"/>
      <c r="F40" s="48"/>
      <c r="G40" s="100"/>
      <c r="H40" s="48"/>
      <c r="I40" s="48"/>
      <c r="J40" s="103"/>
      <c r="K40" s="58"/>
      <c r="L40" s="58"/>
      <c r="M40" s="105"/>
      <c r="N40" s="48">
        <f>3.663</f>
        <v>3.6629999999999998</v>
      </c>
      <c r="O40" s="96" t="s">
        <v>165</v>
      </c>
      <c r="P40" s="106"/>
      <c r="Q40" s="87" t="s">
        <v>95</v>
      </c>
      <c r="R40" s="87"/>
      <c r="S40" s="109"/>
      <c r="T40" s="87" t="s">
        <v>95</v>
      </c>
      <c r="U40" s="87"/>
      <c r="V40" s="109"/>
      <c r="W40" s="57">
        <v>0.65</v>
      </c>
      <c r="X40" s="57" t="s">
        <v>162</v>
      </c>
    </row>
    <row r="41" spans="1:24" x14ac:dyDescent="0.2">
      <c r="A41" s="35"/>
      <c r="C41" s="238" t="s">
        <v>80</v>
      </c>
      <c r="D41" s="236" t="s">
        <v>27</v>
      </c>
      <c r="E41" s="241"/>
      <c r="F41" s="48"/>
      <c r="G41" s="100"/>
      <c r="H41" s="48">
        <v>20.9</v>
      </c>
      <c r="I41" s="48" t="s">
        <v>162</v>
      </c>
      <c r="J41" s="103"/>
      <c r="K41" s="50">
        <v>4.7E-2</v>
      </c>
      <c r="L41" s="50" t="s">
        <v>162</v>
      </c>
      <c r="M41" s="102"/>
      <c r="N41" s="48">
        <f>IF(K41&gt;0,ROUND(44.01*K41/12.011,3),IF(E41&gt;0,ROUND(E41*0.008229665,3),ROUND(44.01*0.047/12.011,3)))</f>
        <v>0.17199999999999999</v>
      </c>
      <c r="O41" s="96" t="s">
        <v>162</v>
      </c>
      <c r="P41" s="106"/>
      <c r="Q41" s="87" t="s">
        <v>95</v>
      </c>
      <c r="R41" s="87"/>
      <c r="S41" s="109"/>
      <c r="T41" s="87" t="s">
        <v>95</v>
      </c>
      <c r="U41" s="87"/>
      <c r="V41" s="109"/>
      <c r="W41" s="57">
        <v>1.855</v>
      </c>
      <c r="X41" s="57" t="s">
        <v>162</v>
      </c>
    </row>
    <row r="42" spans="1:24" x14ac:dyDescent="0.2">
      <c r="A42" s="35"/>
      <c r="C42" s="238" t="s">
        <v>37</v>
      </c>
      <c r="D42" s="236" t="s">
        <v>27</v>
      </c>
      <c r="E42" s="241"/>
      <c r="F42" s="48"/>
      <c r="G42" s="100"/>
      <c r="H42" s="48">
        <v>20.9</v>
      </c>
      <c r="I42" s="48" t="s">
        <v>162</v>
      </c>
      <c r="J42" s="103"/>
      <c r="K42" s="50">
        <v>4.7E-2</v>
      </c>
      <c r="L42" s="50" t="s">
        <v>162</v>
      </c>
      <c r="M42" s="102"/>
      <c r="N42" s="48">
        <f>IF(K42&gt;0,ROUND(44.01*K42/12.011,3),IF(E42&gt;0,ROUND(E42*0.008229665,3),ROUND(44.01*0.047/12.011,3)))</f>
        <v>0.17199999999999999</v>
      </c>
      <c r="O42" s="96" t="s">
        <v>162</v>
      </c>
      <c r="P42" s="106"/>
      <c r="Q42" s="87" t="s">
        <v>95</v>
      </c>
      <c r="R42" s="87"/>
      <c r="S42" s="109"/>
      <c r="T42" s="87" t="s">
        <v>95</v>
      </c>
      <c r="U42" s="87"/>
      <c r="V42" s="109"/>
      <c r="W42" s="57">
        <v>1.855</v>
      </c>
      <c r="X42" s="57" t="s">
        <v>162</v>
      </c>
    </row>
    <row r="43" spans="1:24" x14ac:dyDescent="0.2">
      <c r="A43" s="35"/>
      <c r="C43" s="238" t="s">
        <v>38</v>
      </c>
      <c r="D43" s="236" t="s">
        <v>27</v>
      </c>
      <c r="E43" s="241"/>
      <c r="F43" s="48"/>
      <c r="G43" s="100"/>
      <c r="H43" s="48">
        <v>20.9</v>
      </c>
      <c r="I43" s="48" t="s">
        <v>162</v>
      </c>
      <c r="J43" s="103"/>
      <c r="K43" s="50">
        <v>4.7E-2</v>
      </c>
      <c r="L43" s="50" t="s">
        <v>166</v>
      </c>
      <c r="M43" s="102"/>
      <c r="N43" s="48">
        <f>IF(K43&gt;0,ROUND(44.01*K43/12.011,3),IF(E43&gt;0,ROUND(E43*0.008229665,3),ROUND(44.01*0.047/12.011,3)))</f>
        <v>0.17199999999999999</v>
      </c>
      <c r="O43" s="50" t="s">
        <v>166</v>
      </c>
      <c r="P43" s="106"/>
      <c r="Q43" s="87" t="s">
        <v>95</v>
      </c>
      <c r="R43" s="87"/>
      <c r="S43" s="109"/>
      <c r="T43" s="87" t="s">
        <v>95</v>
      </c>
      <c r="U43" s="87"/>
      <c r="V43" s="109"/>
      <c r="W43" s="57">
        <v>1.855</v>
      </c>
      <c r="X43" s="57" t="s">
        <v>162</v>
      </c>
    </row>
    <row r="44" spans="1:24" x14ac:dyDescent="0.2">
      <c r="A44" s="35"/>
      <c r="C44" s="238" t="s">
        <v>39</v>
      </c>
      <c r="D44" s="236" t="s">
        <v>27</v>
      </c>
      <c r="E44" s="240"/>
      <c r="F44" s="50"/>
      <c r="G44" s="99"/>
      <c r="H44" s="50"/>
      <c r="I44" s="50"/>
      <c r="J44" s="102"/>
      <c r="K44" s="50">
        <v>5.0000000000000001E-3</v>
      </c>
      <c r="L44" s="50" t="s">
        <v>167</v>
      </c>
      <c r="M44" s="102"/>
      <c r="N44" s="48">
        <f>ROUND(IF(K44&gt;0,44.01*K44/12.011,44.01*0.005/12.011),3)</f>
        <v>1.7999999999999999E-2</v>
      </c>
      <c r="O44" s="50" t="s">
        <v>167</v>
      </c>
      <c r="P44" s="106"/>
      <c r="Q44" s="87" t="s">
        <v>95</v>
      </c>
      <c r="R44" s="87"/>
      <c r="S44" s="109"/>
      <c r="T44" s="87" t="s">
        <v>95</v>
      </c>
      <c r="U44" s="87"/>
      <c r="V44" s="109"/>
      <c r="W44" s="57">
        <v>5.2</v>
      </c>
      <c r="X44" s="57" t="s">
        <v>167</v>
      </c>
    </row>
    <row r="45" spans="1:24" x14ac:dyDescent="0.2">
      <c r="A45" s="35"/>
      <c r="C45" s="238" t="s">
        <v>76</v>
      </c>
      <c r="D45" s="236" t="s">
        <v>27</v>
      </c>
      <c r="E45" s="240"/>
      <c r="F45" s="50"/>
      <c r="G45" s="99"/>
      <c r="H45" s="50">
        <v>20.9</v>
      </c>
      <c r="I45" s="48" t="s">
        <v>162</v>
      </c>
      <c r="J45" s="102"/>
      <c r="K45" s="50">
        <v>4.7E-2</v>
      </c>
      <c r="L45" s="50" t="s">
        <v>162</v>
      </c>
      <c r="M45" s="102"/>
      <c r="N45" s="48">
        <f>IF(K45&gt;0,ROUND(44.01*K45/12.011,3),IF(E45&gt;0,ROUND(E45*0.008229665,3),ROUND(44.01*0.047/12.011,3)))</f>
        <v>0.17199999999999999</v>
      </c>
      <c r="O45" s="96" t="s">
        <v>162</v>
      </c>
      <c r="P45" s="106"/>
      <c r="Q45" s="87" t="s">
        <v>95</v>
      </c>
      <c r="R45" s="87"/>
      <c r="S45" s="109"/>
      <c r="T45" s="87" t="s">
        <v>95</v>
      </c>
      <c r="U45" s="87"/>
      <c r="V45" s="109"/>
      <c r="W45" s="57">
        <v>1.855</v>
      </c>
      <c r="X45" s="57" t="s">
        <v>162</v>
      </c>
    </row>
    <row r="46" spans="1:24" x14ac:dyDescent="0.2">
      <c r="A46" s="35"/>
      <c r="C46" s="238" t="s">
        <v>77</v>
      </c>
      <c r="D46" s="236" t="s">
        <v>27</v>
      </c>
      <c r="E46" s="240"/>
      <c r="F46" s="50"/>
      <c r="G46" s="99"/>
      <c r="H46" s="50">
        <v>15.6</v>
      </c>
      <c r="I46" s="50" t="s">
        <v>165</v>
      </c>
      <c r="J46" s="102"/>
      <c r="K46" s="50">
        <v>0.47599999999999998</v>
      </c>
      <c r="L46" s="50" t="s">
        <v>165</v>
      </c>
      <c r="M46" s="102"/>
      <c r="N46" s="48"/>
      <c r="O46" s="96"/>
      <c r="P46" s="106"/>
      <c r="Q46" s="87">
        <v>4.6799999999999999E-4</v>
      </c>
      <c r="R46" s="87" t="s">
        <v>173</v>
      </c>
      <c r="S46" s="109"/>
      <c r="T46" s="87">
        <v>6.2000000000000003E-5</v>
      </c>
      <c r="U46" s="87" t="s">
        <v>173</v>
      </c>
      <c r="V46" s="109"/>
      <c r="W46" s="57">
        <v>0</v>
      </c>
      <c r="X46" s="57" t="s">
        <v>162</v>
      </c>
    </row>
    <row r="47" spans="1:24" x14ac:dyDescent="0.2">
      <c r="A47" s="35"/>
      <c r="C47" s="234" t="s">
        <v>40</v>
      </c>
      <c r="D47" s="236" t="s">
        <v>27</v>
      </c>
      <c r="E47" s="240"/>
      <c r="F47" s="50"/>
      <c r="G47" s="99"/>
      <c r="H47" s="50">
        <v>14.1</v>
      </c>
      <c r="I47" s="50" t="s">
        <v>165</v>
      </c>
      <c r="J47" s="102"/>
      <c r="K47" s="50">
        <v>0.02</v>
      </c>
      <c r="L47" s="50" t="s">
        <v>165</v>
      </c>
      <c r="M47" s="102"/>
      <c r="N47" s="48">
        <f>ROUND(IF(K47&gt;0,44.01*K47/12.011,44.01*0.02/12.011),3)</f>
        <v>7.2999999999999995E-2</v>
      </c>
      <c r="O47" s="96" t="s">
        <v>165</v>
      </c>
      <c r="P47" s="106"/>
      <c r="Q47" s="87" t="s">
        <v>95</v>
      </c>
      <c r="R47" s="87"/>
      <c r="S47" s="109"/>
      <c r="T47" s="87" t="s">
        <v>95</v>
      </c>
      <c r="U47" s="87"/>
      <c r="V47" s="109"/>
      <c r="W47" s="57">
        <v>0.78</v>
      </c>
      <c r="X47" s="57" t="s">
        <v>162</v>
      </c>
    </row>
    <row r="48" spans="1:24" x14ac:dyDescent="0.2">
      <c r="A48" s="35"/>
      <c r="C48" s="234" t="s">
        <v>41</v>
      </c>
      <c r="D48" s="236" t="s">
        <v>27</v>
      </c>
      <c r="E48" s="241"/>
      <c r="F48" s="48"/>
      <c r="G48" s="100"/>
      <c r="H48" s="48">
        <v>17.899999999999999</v>
      </c>
      <c r="I48" s="48" t="s">
        <v>165</v>
      </c>
      <c r="J48" s="103"/>
      <c r="K48" s="50">
        <v>0.02</v>
      </c>
      <c r="L48" s="50" t="s">
        <v>165</v>
      </c>
      <c r="M48" s="102"/>
      <c r="N48" s="48">
        <f>ROUND(IF(K48&gt;0,44.01*K48/12.011,44.01*0.02/12.011),3)</f>
        <v>7.2999999999999995E-2</v>
      </c>
      <c r="O48" s="96" t="s">
        <v>165</v>
      </c>
      <c r="P48" s="106"/>
      <c r="Q48" s="87" t="s">
        <v>95</v>
      </c>
      <c r="R48" s="87"/>
      <c r="S48" s="109"/>
      <c r="T48" s="87" t="s">
        <v>95</v>
      </c>
      <c r="U48" s="87"/>
      <c r="V48" s="109"/>
      <c r="W48" s="57">
        <v>1.21</v>
      </c>
      <c r="X48" s="57" t="s">
        <v>162</v>
      </c>
    </row>
    <row r="49" spans="1:24" x14ac:dyDescent="0.2">
      <c r="A49" s="35"/>
      <c r="C49" s="234" t="s">
        <v>65</v>
      </c>
      <c r="D49" s="236" t="s">
        <v>27</v>
      </c>
      <c r="E49" s="241"/>
      <c r="F49" s="48"/>
      <c r="G49" s="100"/>
      <c r="H49" s="48">
        <v>14.1</v>
      </c>
      <c r="I49" s="48" t="s">
        <v>162</v>
      </c>
      <c r="J49" s="103"/>
      <c r="K49" s="50">
        <v>0.02</v>
      </c>
      <c r="L49" s="50" t="s">
        <v>162</v>
      </c>
      <c r="M49" s="102"/>
      <c r="N49" s="48">
        <f>ROUND(IF(K49&gt;0,44.01*K49/12.011,44.01*0.02/12.011),3)</f>
        <v>7.2999999999999995E-2</v>
      </c>
      <c r="O49" s="96" t="s">
        <v>162</v>
      </c>
      <c r="P49" s="106"/>
      <c r="Q49" s="87" t="s">
        <v>95</v>
      </c>
      <c r="R49" s="87"/>
      <c r="S49" s="109"/>
      <c r="T49" s="87" t="s">
        <v>95</v>
      </c>
      <c r="U49" s="87"/>
      <c r="V49" s="109"/>
      <c r="W49" s="57">
        <v>0.78</v>
      </c>
      <c r="X49" s="57" t="s">
        <v>162</v>
      </c>
    </row>
    <row r="50" spans="1:24" x14ac:dyDescent="0.2">
      <c r="A50" s="35"/>
      <c r="C50" s="234" t="s">
        <v>42</v>
      </c>
      <c r="D50" s="236" t="s">
        <v>27</v>
      </c>
      <c r="E50" s="241"/>
      <c r="F50" s="48"/>
      <c r="G50" s="100"/>
      <c r="H50" s="48"/>
      <c r="I50" s="48"/>
      <c r="J50" s="103"/>
      <c r="K50" s="50">
        <v>0.01</v>
      </c>
      <c r="L50" s="50" t="s">
        <v>167</v>
      </c>
      <c r="M50" s="102"/>
      <c r="N50" s="48">
        <f>ROUND(IF(K50&gt;0,44.01*K50/12.011,44.01*0.01/12.011),3)</f>
        <v>3.6999999999999998E-2</v>
      </c>
      <c r="O50" s="50" t="s">
        <v>167</v>
      </c>
      <c r="P50" s="106"/>
      <c r="Q50" s="87" t="s">
        <v>95</v>
      </c>
      <c r="R50" s="87"/>
      <c r="S50" s="109"/>
      <c r="T50" s="87" t="s">
        <v>95</v>
      </c>
      <c r="U50" s="87"/>
      <c r="V50" s="109"/>
      <c r="W50" s="57">
        <v>8.6761599999999994</v>
      </c>
      <c r="X50" s="57" t="s">
        <v>167</v>
      </c>
    </row>
    <row r="51" spans="1:24" x14ac:dyDescent="0.2">
      <c r="A51" s="35"/>
      <c r="C51" s="234" t="s">
        <v>43</v>
      </c>
      <c r="D51" s="236" t="s">
        <v>27</v>
      </c>
      <c r="E51" s="241"/>
      <c r="F51" s="48"/>
      <c r="G51" s="100"/>
      <c r="H51" s="48"/>
      <c r="I51" s="48"/>
      <c r="J51" s="103"/>
      <c r="K51" s="50">
        <v>1E-3</v>
      </c>
      <c r="L51" s="50" t="s">
        <v>167</v>
      </c>
      <c r="M51" s="102"/>
      <c r="N51" s="48">
        <f>ROUND(IF(K51&gt;0,44.01*K51/12.011,44.01*0.001/12.011),3)</f>
        <v>4.0000000000000001E-3</v>
      </c>
      <c r="O51" s="50" t="s">
        <v>167</v>
      </c>
      <c r="P51" s="106"/>
      <c r="Q51" s="87" t="s">
        <v>95</v>
      </c>
      <c r="R51" s="87"/>
      <c r="S51" s="109"/>
      <c r="T51" s="87" t="s">
        <v>95</v>
      </c>
      <c r="U51" s="87"/>
      <c r="V51" s="109"/>
      <c r="W51" s="57">
        <f>ROUND(26337*0.77/1000,3)</f>
        <v>20.279</v>
      </c>
      <c r="X51" s="57" t="s">
        <v>167</v>
      </c>
    </row>
    <row r="52" spans="1:24" x14ac:dyDescent="0.2">
      <c r="A52" s="35"/>
      <c r="C52" s="234" t="s">
        <v>44</v>
      </c>
      <c r="D52" s="236" t="s">
        <v>27</v>
      </c>
      <c r="E52" s="241"/>
      <c r="F52" s="48"/>
      <c r="G52" s="100"/>
      <c r="H52" s="48"/>
      <c r="I52" s="48"/>
      <c r="J52" s="103"/>
      <c r="K52" s="50">
        <v>1E-3</v>
      </c>
      <c r="L52" s="50" t="s">
        <v>167</v>
      </c>
      <c r="M52" s="102"/>
      <c r="N52" s="48">
        <f>ROUND(IF(K52&gt;0,44.01*K52/12.011,44.01*0.001/12.011),3)</f>
        <v>4.0000000000000001E-3</v>
      </c>
      <c r="O52" s="50" t="s">
        <v>167</v>
      </c>
      <c r="P52" s="106"/>
      <c r="Q52" s="87" t="s">
        <v>95</v>
      </c>
      <c r="R52" s="87"/>
      <c r="S52" s="109"/>
      <c r="T52" s="87" t="s">
        <v>95</v>
      </c>
      <c r="U52" s="87"/>
      <c r="V52" s="109"/>
      <c r="W52" s="57">
        <f>ROUND(13675*0.993/1000,3)</f>
        <v>13.579000000000001</v>
      </c>
      <c r="X52" s="57" t="s">
        <v>167</v>
      </c>
    </row>
    <row r="53" spans="1:24" x14ac:dyDescent="0.2">
      <c r="A53" s="35"/>
      <c r="C53" s="234" t="s">
        <v>45</v>
      </c>
      <c r="D53" s="236" t="s">
        <v>27</v>
      </c>
      <c r="E53" s="241"/>
      <c r="F53" s="48"/>
      <c r="G53" s="100"/>
      <c r="H53" s="48"/>
      <c r="I53" s="48"/>
      <c r="J53" s="103"/>
      <c r="K53" s="50">
        <v>7.4999999999999997E-2</v>
      </c>
      <c r="L53" s="50" t="s">
        <v>167</v>
      </c>
      <c r="M53" s="102"/>
      <c r="N53" s="48">
        <f>ROUND(IF(K53&gt;0,44.01*K53/12.011,44.01*0.075/12.011),3)</f>
        <v>0.27500000000000002</v>
      </c>
      <c r="O53" s="50" t="s">
        <v>167</v>
      </c>
      <c r="P53" s="106"/>
      <c r="Q53" s="87" t="s">
        <v>95</v>
      </c>
      <c r="R53" s="87"/>
      <c r="S53" s="109"/>
      <c r="T53" s="87" t="s">
        <v>95</v>
      </c>
      <c r="U53" s="87"/>
      <c r="V53" s="109"/>
      <c r="W53" s="57">
        <f>ROUND(10596.9*0.565/1000,3)</f>
        <v>5.9870000000000001</v>
      </c>
      <c r="X53" s="57" t="s">
        <v>167</v>
      </c>
    </row>
    <row r="54" spans="1:24" x14ac:dyDescent="0.2">
      <c r="A54" s="35"/>
      <c r="C54" s="238" t="s">
        <v>46</v>
      </c>
      <c r="D54" s="236" t="s">
        <v>27</v>
      </c>
      <c r="E54" s="241"/>
      <c r="F54" s="48"/>
      <c r="G54" s="100"/>
      <c r="H54" s="48"/>
      <c r="I54" s="48"/>
      <c r="J54" s="103"/>
      <c r="K54" s="50">
        <v>1E-3</v>
      </c>
      <c r="L54" s="50" t="s">
        <v>167</v>
      </c>
      <c r="M54" s="102"/>
      <c r="N54" s="48">
        <f>ROUND(IF(K54&gt;0,44.01*K54/12.011,44.01*0.001/12.011),3)</f>
        <v>4.0000000000000001E-3</v>
      </c>
      <c r="O54" s="50" t="s">
        <v>167</v>
      </c>
      <c r="P54" s="106"/>
      <c r="Q54" s="87" t="s">
        <v>95</v>
      </c>
      <c r="R54" s="87"/>
      <c r="S54" s="109"/>
      <c r="T54" s="87" t="s">
        <v>95</v>
      </c>
      <c r="U54" s="87"/>
      <c r="V54" s="109"/>
      <c r="W54" s="57">
        <v>6.5</v>
      </c>
      <c r="X54" s="57" t="s">
        <v>167</v>
      </c>
    </row>
    <row r="55" spans="1:24" x14ac:dyDescent="0.2">
      <c r="A55" s="35"/>
      <c r="C55" s="238" t="s">
        <v>69</v>
      </c>
      <c r="D55" s="236" t="s">
        <v>27</v>
      </c>
      <c r="E55" s="241"/>
      <c r="F55" s="48"/>
      <c r="G55" s="100"/>
      <c r="H55" s="48"/>
      <c r="I55" s="48"/>
      <c r="J55" s="103"/>
      <c r="K55" s="50">
        <v>5.0000000000000001E-3</v>
      </c>
      <c r="L55" s="50" t="s">
        <v>167</v>
      </c>
      <c r="M55" s="102"/>
      <c r="N55" s="48">
        <f>ROUND(IF(K55&gt;0,44.01*K55/12.011,44.01*0.005/12.011),3)</f>
        <v>1.7999999999999999E-2</v>
      </c>
      <c r="O55" s="50" t="s">
        <v>167</v>
      </c>
      <c r="P55" s="106"/>
      <c r="Q55" s="87" t="s">
        <v>95</v>
      </c>
      <c r="R55" s="87"/>
      <c r="S55" s="109"/>
      <c r="T55" s="87" t="s">
        <v>95</v>
      </c>
      <c r="U55" s="87"/>
      <c r="V55" s="109"/>
      <c r="W55" s="57">
        <v>8.5</v>
      </c>
      <c r="X55" s="57" t="s">
        <v>167</v>
      </c>
    </row>
    <row r="56" spans="1:24" x14ac:dyDescent="0.2">
      <c r="A56" s="35"/>
      <c r="C56" s="234" t="s">
        <v>47</v>
      </c>
      <c r="D56" s="236" t="s">
        <v>27</v>
      </c>
      <c r="E56" s="240"/>
      <c r="F56" s="50"/>
      <c r="G56" s="99"/>
      <c r="H56" s="50"/>
      <c r="I56" s="50"/>
      <c r="J56" s="102"/>
      <c r="K56" s="50">
        <v>0.05</v>
      </c>
      <c r="L56" s="50" t="s">
        <v>167</v>
      </c>
      <c r="M56" s="102"/>
      <c r="N56" s="48">
        <f>ROUND(IF(K56&gt;0,44.01*K56/12.011,44.01*0.05/12.011),3)</f>
        <v>0.183</v>
      </c>
      <c r="O56" s="50" t="s">
        <v>167</v>
      </c>
      <c r="P56" s="106"/>
      <c r="Q56" s="87" t="s">
        <v>95</v>
      </c>
      <c r="R56" s="87"/>
      <c r="S56" s="109"/>
      <c r="T56" s="87" t="s">
        <v>95</v>
      </c>
      <c r="U56" s="87"/>
      <c r="V56" s="109"/>
      <c r="W56" s="57">
        <v>2.7890000000000001</v>
      </c>
      <c r="X56" s="57" t="s">
        <v>167</v>
      </c>
    </row>
    <row r="57" spans="1:24" x14ac:dyDescent="0.2">
      <c r="A57" s="35"/>
      <c r="C57" s="234" t="s">
        <v>67</v>
      </c>
      <c r="D57" s="236" t="s">
        <v>27</v>
      </c>
      <c r="E57" s="240"/>
      <c r="F57" s="50"/>
      <c r="G57" s="99"/>
      <c r="H57" s="50"/>
      <c r="I57" s="50"/>
      <c r="J57" s="102"/>
      <c r="K57" s="50">
        <v>1E-3</v>
      </c>
      <c r="L57" s="50" t="s">
        <v>165</v>
      </c>
      <c r="M57" s="102"/>
      <c r="N57" s="48">
        <f>ROUND(IF(K57&gt;0,44.01*K57/12.011,44.01*0.001/12.011),3)</f>
        <v>4.0000000000000001E-3</v>
      </c>
      <c r="O57" s="96" t="s">
        <v>165</v>
      </c>
      <c r="P57" s="106"/>
      <c r="Q57" s="87" t="s">
        <v>95</v>
      </c>
      <c r="R57" s="87"/>
      <c r="S57" s="109"/>
      <c r="T57" s="87" t="s">
        <v>95</v>
      </c>
      <c r="U57" s="87"/>
      <c r="V57" s="109"/>
      <c r="W57" s="57">
        <v>4</v>
      </c>
      <c r="X57" s="57" t="s">
        <v>165</v>
      </c>
    </row>
    <row r="58" spans="1:24" x14ac:dyDescent="0.2">
      <c r="A58" s="35"/>
      <c r="C58" s="234" t="s">
        <v>68</v>
      </c>
      <c r="D58" s="236" t="s">
        <v>27</v>
      </c>
      <c r="E58" s="240"/>
      <c r="F58" s="50"/>
      <c r="G58" s="99"/>
      <c r="H58" s="50"/>
      <c r="I58" s="50"/>
      <c r="J58" s="102"/>
      <c r="K58" s="50">
        <v>5.0000000000000001E-3</v>
      </c>
      <c r="L58" s="50" t="s">
        <v>165</v>
      </c>
      <c r="M58" s="102"/>
      <c r="N58" s="48">
        <f>ROUND(IF(K58&gt;0,44.01*K58/12.011,44.01*0.005/12.011),3)</f>
        <v>1.7999999999999999E-2</v>
      </c>
      <c r="O58" s="96" t="s">
        <v>165</v>
      </c>
      <c r="P58" s="106"/>
      <c r="Q58" s="87" t="s">
        <v>95</v>
      </c>
      <c r="R58" s="87"/>
      <c r="S58" s="109"/>
      <c r="T58" s="87" t="s">
        <v>95</v>
      </c>
      <c r="U58" s="87"/>
      <c r="V58" s="109"/>
      <c r="W58" s="57">
        <v>2.8</v>
      </c>
      <c r="X58" s="126" t="s">
        <v>184</v>
      </c>
    </row>
    <row r="59" spans="1:24" x14ac:dyDescent="0.2">
      <c r="A59" s="35"/>
      <c r="C59" s="234" t="s">
        <v>87</v>
      </c>
      <c r="D59" s="236" t="s">
        <v>27</v>
      </c>
      <c r="E59" s="240"/>
      <c r="F59" s="50"/>
      <c r="G59" s="99"/>
      <c r="H59" s="50"/>
      <c r="I59" s="50"/>
      <c r="J59" s="102"/>
      <c r="K59" s="50">
        <v>1E-3</v>
      </c>
      <c r="L59" s="50" t="s">
        <v>165</v>
      </c>
      <c r="M59" s="102"/>
      <c r="N59" s="48">
        <f>ROUND(IF(K59&gt;0,44.01*K59/12.011,44.01*0.001/12.011),3)</f>
        <v>4.0000000000000001E-3</v>
      </c>
      <c r="O59" s="96" t="s">
        <v>165</v>
      </c>
      <c r="P59" s="106"/>
      <c r="Q59" s="87" t="s">
        <v>95</v>
      </c>
      <c r="R59" s="87"/>
      <c r="S59" s="109"/>
      <c r="T59" s="87" t="s">
        <v>95</v>
      </c>
      <c r="U59" s="87"/>
      <c r="V59" s="109"/>
      <c r="W59" s="57">
        <v>5</v>
      </c>
      <c r="X59" s="57" t="s">
        <v>165</v>
      </c>
    </row>
    <row r="60" spans="1:24" x14ac:dyDescent="0.2">
      <c r="A60" s="188"/>
      <c r="C60" s="234" t="s">
        <v>143</v>
      </c>
      <c r="D60" s="236" t="s">
        <v>27</v>
      </c>
      <c r="E60" s="240"/>
      <c r="F60" s="50"/>
      <c r="G60" s="99"/>
      <c r="H60" s="50"/>
      <c r="I60" s="50"/>
      <c r="J60" s="102"/>
      <c r="K60" s="50"/>
      <c r="L60" s="50"/>
      <c r="M60" s="102"/>
      <c r="N60" s="48"/>
      <c r="O60" s="96"/>
      <c r="P60" s="106"/>
      <c r="Q60" s="87"/>
      <c r="R60" s="87"/>
      <c r="S60" s="109"/>
      <c r="T60" s="87"/>
      <c r="U60" s="87"/>
      <c r="V60" s="109"/>
      <c r="W60" s="123">
        <v>16.5</v>
      </c>
      <c r="X60" s="57" t="s">
        <v>175</v>
      </c>
    </row>
    <row r="61" spans="1:24" x14ac:dyDescent="0.2">
      <c r="A61" s="188"/>
      <c r="C61" s="234" t="s">
        <v>144</v>
      </c>
      <c r="D61" s="236" t="s">
        <v>27</v>
      </c>
      <c r="E61" s="240"/>
      <c r="F61" s="50"/>
      <c r="G61" s="99"/>
      <c r="H61" s="50"/>
      <c r="I61" s="50"/>
      <c r="J61" s="102"/>
      <c r="K61" s="50"/>
      <c r="L61" s="50"/>
      <c r="M61" s="102"/>
      <c r="N61" s="48"/>
      <c r="O61" s="96"/>
      <c r="P61" s="106"/>
      <c r="Q61" s="87"/>
      <c r="R61" s="87"/>
      <c r="S61" s="109"/>
      <c r="T61" s="87"/>
      <c r="U61" s="87"/>
      <c r="V61" s="109"/>
      <c r="W61" s="123">
        <v>4.0999999999999996</v>
      </c>
      <c r="X61" s="57" t="s">
        <v>176</v>
      </c>
    </row>
    <row r="62" spans="1:24" x14ac:dyDescent="0.2">
      <c r="A62" s="188"/>
      <c r="C62" s="234" t="s">
        <v>145</v>
      </c>
      <c r="D62" s="236" t="s">
        <v>27</v>
      </c>
      <c r="E62" s="240"/>
      <c r="F62" s="50"/>
      <c r="G62" s="99"/>
      <c r="H62" s="50"/>
      <c r="I62" s="50"/>
      <c r="J62" s="102"/>
      <c r="K62" s="50"/>
      <c r="L62" s="50"/>
      <c r="M62" s="102"/>
      <c r="N62" s="48"/>
      <c r="O62" s="96"/>
      <c r="P62" s="106"/>
      <c r="Q62" s="87"/>
      <c r="R62" s="87"/>
      <c r="S62" s="109"/>
      <c r="T62" s="87"/>
      <c r="U62" s="87"/>
      <c r="V62" s="109"/>
      <c r="W62" s="123" t="s">
        <v>182</v>
      </c>
      <c r="X62" s="123" t="s">
        <v>183</v>
      </c>
    </row>
    <row r="63" spans="1:24" x14ac:dyDescent="0.2">
      <c r="A63" s="188"/>
      <c r="C63" s="234" t="s">
        <v>146</v>
      </c>
      <c r="D63" s="236" t="s">
        <v>27</v>
      </c>
      <c r="E63" s="240"/>
      <c r="F63" s="50"/>
      <c r="G63" s="99"/>
      <c r="H63" s="50"/>
      <c r="I63" s="50"/>
      <c r="J63" s="102"/>
      <c r="K63" s="50"/>
      <c r="L63" s="50"/>
      <c r="M63" s="102"/>
      <c r="N63" s="48"/>
      <c r="O63" s="96"/>
      <c r="P63" s="106"/>
      <c r="Q63" s="87"/>
      <c r="R63" s="87"/>
      <c r="S63" s="109"/>
      <c r="T63" s="87"/>
      <c r="U63" s="87"/>
      <c r="V63" s="109"/>
      <c r="W63" s="123" t="s">
        <v>182</v>
      </c>
      <c r="X63" s="123" t="s">
        <v>183</v>
      </c>
    </row>
    <row r="64" spans="1:24" x14ac:dyDescent="0.2">
      <c r="A64" s="188"/>
      <c r="C64" s="234" t="s">
        <v>147</v>
      </c>
      <c r="D64" s="236" t="s">
        <v>27</v>
      </c>
      <c r="E64" s="240"/>
      <c r="F64" s="50"/>
      <c r="G64" s="99"/>
      <c r="H64" s="50"/>
      <c r="I64" s="50"/>
      <c r="J64" s="102"/>
      <c r="K64" s="50"/>
      <c r="L64" s="50"/>
      <c r="M64" s="102"/>
      <c r="N64" s="48"/>
      <c r="O64" s="96"/>
      <c r="P64" s="106"/>
      <c r="Q64" s="87"/>
      <c r="R64" s="87"/>
      <c r="S64" s="109"/>
      <c r="T64" s="87"/>
      <c r="U64" s="87"/>
      <c r="V64" s="109"/>
      <c r="W64" s="123" t="s">
        <v>182</v>
      </c>
      <c r="X64" s="123" t="s">
        <v>183</v>
      </c>
    </row>
    <row r="65" spans="1:24" x14ac:dyDescent="0.2">
      <c r="A65" s="188"/>
      <c r="C65" s="234" t="s">
        <v>148</v>
      </c>
      <c r="D65" s="236" t="s">
        <v>27</v>
      </c>
      <c r="E65" s="240"/>
      <c r="F65" s="50"/>
      <c r="G65" s="99"/>
      <c r="H65" s="50"/>
      <c r="I65" s="50"/>
      <c r="J65" s="102"/>
      <c r="K65" s="50"/>
      <c r="L65" s="50"/>
      <c r="M65" s="102"/>
      <c r="N65" s="48"/>
      <c r="O65" s="96"/>
      <c r="P65" s="106"/>
      <c r="Q65" s="87"/>
      <c r="R65" s="87"/>
      <c r="S65" s="109"/>
      <c r="T65" s="87"/>
      <c r="U65" s="87"/>
      <c r="V65" s="109"/>
      <c r="W65" s="123">
        <v>6</v>
      </c>
      <c r="X65" s="126" t="s">
        <v>177</v>
      </c>
    </row>
    <row r="66" spans="1:24" x14ac:dyDescent="0.2">
      <c r="A66" s="188"/>
      <c r="C66" s="234" t="s">
        <v>149</v>
      </c>
      <c r="D66" s="236" t="s">
        <v>27</v>
      </c>
      <c r="E66" s="240"/>
      <c r="F66" s="50"/>
      <c r="G66" s="99"/>
      <c r="H66" s="50"/>
      <c r="I66" s="50"/>
      <c r="J66" s="102"/>
      <c r="K66" s="50"/>
      <c r="L66" s="50"/>
      <c r="M66" s="102"/>
      <c r="N66" s="48"/>
      <c r="O66" s="96"/>
      <c r="P66" s="106"/>
      <c r="Q66" s="87"/>
      <c r="R66" s="87"/>
      <c r="S66" s="109"/>
      <c r="T66" s="87"/>
      <c r="U66" s="87"/>
      <c r="V66" s="109"/>
      <c r="W66" s="123">
        <v>6.6319999999999997</v>
      </c>
      <c r="X66" s="57" t="s">
        <v>178</v>
      </c>
    </row>
    <row r="67" spans="1:24" x14ac:dyDescent="0.2">
      <c r="A67" s="188"/>
      <c r="C67" s="234" t="s">
        <v>150</v>
      </c>
      <c r="D67" s="236" t="s">
        <v>27</v>
      </c>
      <c r="E67" s="240"/>
      <c r="F67" s="50"/>
      <c r="G67" s="99"/>
      <c r="H67" s="50"/>
      <c r="I67" s="50"/>
      <c r="J67" s="102"/>
      <c r="K67" s="50"/>
      <c r="L67" s="50"/>
      <c r="M67" s="102"/>
      <c r="N67" s="48"/>
      <c r="O67" s="96"/>
      <c r="P67" s="106"/>
      <c r="Q67" s="87"/>
      <c r="R67" s="87"/>
      <c r="S67" s="109"/>
      <c r="T67" s="87"/>
      <c r="U67" s="87"/>
      <c r="V67" s="109"/>
      <c r="W67" s="123">
        <v>16.5</v>
      </c>
      <c r="X67" s="57" t="s">
        <v>175</v>
      </c>
    </row>
    <row r="68" spans="1:24" x14ac:dyDescent="0.2">
      <c r="A68" s="188"/>
      <c r="C68" s="234" t="s">
        <v>151</v>
      </c>
      <c r="D68" s="236" t="s">
        <v>27</v>
      </c>
      <c r="E68" s="240"/>
      <c r="F68" s="50"/>
      <c r="G68" s="99"/>
      <c r="H68" s="50"/>
      <c r="I68" s="50"/>
      <c r="J68" s="102"/>
      <c r="K68" s="50"/>
      <c r="L68" s="50"/>
      <c r="M68" s="102"/>
      <c r="N68" s="48"/>
      <c r="O68" s="96"/>
      <c r="P68" s="106"/>
      <c r="Q68" s="87"/>
      <c r="R68" s="87"/>
      <c r="S68" s="109"/>
      <c r="T68" s="87"/>
      <c r="U68" s="87"/>
      <c r="V68" s="109"/>
      <c r="W68" s="123">
        <v>3.8180000000000001</v>
      </c>
      <c r="X68" s="57" t="s">
        <v>179</v>
      </c>
    </row>
    <row r="69" spans="1:24" x14ac:dyDescent="0.2">
      <c r="A69" s="188"/>
      <c r="C69" s="234" t="s">
        <v>152</v>
      </c>
      <c r="D69" s="236" t="s">
        <v>27</v>
      </c>
      <c r="E69" s="240"/>
      <c r="F69" s="50"/>
      <c r="G69" s="99"/>
      <c r="H69" s="50"/>
      <c r="I69" s="50"/>
      <c r="J69" s="102"/>
      <c r="K69" s="50"/>
      <c r="L69" s="50"/>
      <c r="M69" s="102"/>
      <c r="N69" s="48"/>
      <c r="O69" s="96"/>
      <c r="P69" s="106"/>
      <c r="Q69" s="87"/>
      <c r="R69" s="87"/>
      <c r="S69" s="109"/>
      <c r="T69" s="87"/>
      <c r="U69" s="87"/>
      <c r="V69" s="109"/>
      <c r="W69" s="123" t="s">
        <v>182</v>
      </c>
      <c r="X69" s="123" t="s">
        <v>183</v>
      </c>
    </row>
    <row r="70" spans="1:24" x14ac:dyDescent="0.2">
      <c r="A70" s="188"/>
      <c r="C70" s="234" t="s">
        <v>153</v>
      </c>
      <c r="D70" s="236" t="s">
        <v>27</v>
      </c>
      <c r="E70" s="240"/>
      <c r="F70" s="50"/>
      <c r="G70" s="99"/>
      <c r="H70" s="50"/>
      <c r="I70" s="50"/>
      <c r="J70" s="102"/>
      <c r="K70" s="50"/>
      <c r="L70" s="50"/>
      <c r="M70" s="102"/>
      <c r="N70" s="48"/>
      <c r="O70" s="96"/>
      <c r="P70" s="106"/>
      <c r="Q70" s="87"/>
      <c r="R70" s="87"/>
      <c r="S70" s="109"/>
      <c r="T70" s="87"/>
      <c r="U70" s="87"/>
      <c r="V70" s="109"/>
      <c r="W70" s="123">
        <v>28.2</v>
      </c>
      <c r="X70" s="57" t="s">
        <v>180</v>
      </c>
    </row>
    <row r="71" spans="1:24" x14ac:dyDescent="0.2">
      <c r="A71" s="188"/>
      <c r="C71" s="234" t="s">
        <v>154</v>
      </c>
      <c r="D71" s="236" t="s">
        <v>27</v>
      </c>
      <c r="E71" s="240"/>
      <c r="F71" s="50"/>
      <c r="G71" s="99"/>
      <c r="H71" s="50"/>
      <c r="I71" s="50"/>
      <c r="J71" s="102"/>
      <c r="K71" s="50"/>
      <c r="L71" s="50"/>
      <c r="M71" s="102"/>
      <c r="N71" s="48"/>
      <c r="O71" s="96"/>
      <c r="P71" s="106"/>
      <c r="Q71" s="87"/>
      <c r="R71" s="87"/>
      <c r="S71" s="109"/>
      <c r="T71" s="87"/>
      <c r="U71" s="87"/>
      <c r="V71" s="109"/>
      <c r="W71" s="123">
        <v>5.09</v>
      </c>
      <c r="X71" s="126" t="s">
        <v>181</v>
      </c>
    </row>
    <row r="72" spans="1:24" x14ac:dyDescent="0.2">
      <c r="A72" s="188"/>
      <c r="C72" s="234" t="s">
        <v>155</v>
      </c>
      <c r="D72" s="236" t="s">
        <v>27</v>
      </c>
      <c r="E72" s="240"/>
      <c r="F72" s="50"/>
      <c r="G72" s="99"/>
      <c r="H72" s="50"/>
      <c r="I72" s="50"/>
      <c r="J72" s="102"/>
      <c r="K72" s="50"/>
      <c r="L72" s="50"/>
      <c r="M72" s="102"/>
      <c r="N72" s="48"/>
      <c r="O72" s="96"/>
      <c r="P72" s="106"/>
      <c r="Q72" s="87"/>
      <c r="R72" s="87"/>
      <c r="S72" s="109"/>
      <c r="T72" s="87"/>
      <c r="U72" s="87"/>
      <c r="V72" s="109"/>
      <c r="W72" s="123" t="s">
        <v>182</v>
      </c>
      <c r="X72" s="123" t="s">
        <v>183</v>
      </c>
    </row>
    <row r="73" spans="1:24" x14ac:dyDescent="0.2">
      <c r="A73" s="35"/>
      <c r="C73" s="234" t="s">
        <v>48</v>
      </c>
      <c r="D73" s="236" t="s">
        <v>49</v>
      </c>
      <c r="E73" s="240"/>
      <c r="F73" s="50"/>
      <c r="G73" s="99"/>
      <c r="H73" s="50">
        <v>9.8000000000000007</v>
      </c>
      <c r="I73" s="50" t="s">
        <v>188</v>
      </c>
      <c r="J73" s="102"/>
      <c r="K73" s="58"/>
      <c r="L73" s="58"/>
      <c r="M73" s="105"/>
      <c r="N73" s="58"/>
      <c r="O73" s="97"/>
      <c r="P73" s="107"/>
      <c r="Q73" s="88" t="s">
        <v>95</v>
      </c>
      <c r="R73" s="88"/>
      <c r="S73" s="110"/>
      <c r="T73" s="88" t="s">
        <v>95</v>
      </c>
      <c r="U73" s="88"/>
      <c r="V73" s="110"/>
      <c r="W73" s="60">
        <v>0.504</v>
      </c>
      <c r="X73" s="60" t="s">
        <v>189</v>
      </c>
    </row>
    <row r="74" spans="1:24" x14ac:dyDescent="0.2">
      <c r="A74" s="35"/>
      <c r="C74" s="234" t="s">
        <v>50</v>
      </c>
      <c r="D74" s="236" t="s">
        <v>27</v>
      </c>
      <c r="E74" s="241"/>
      <c r="F74" s="48"/>
      <c r="G74" s="100"/>
      <c r="H74" s="48">
        <v>3.8</v>
      </c>
      <c r="I74" s="48" t="s">
        <v>163</v>
      </c>
      <c r="J74" s="103"/>
      <c r="K74" s="58"/>
      <c r="L74" s="58"/>
      <c r="M74" s="105"/>
      <c r="N74" s="58"/>
      <c r="O74" s="97"/>
      <c r="P74" s="107"/>
      <c r="Q74" s="88" t="s">
        <v>95</v>
      </c>
      <c r="R74" s="88"/>
      <c r="S74" s="110"/>
      <c r="T74" s="88" t="s">
        <v>95</v>
      </c>
      <c r="U74" s="88"/>
      <c r="V74" s="110"/>
      <c r="W74" s="57">
        <f>ROUND(IF(H74&gt;0,H74,3.8)*0.0514,3)</f>
        <v>0.19500000000000001</v>
      </c>
      <c r="X74" s="57" t="s">
        <v>163</v>
      </c>
    </row>
    <row r="75" spans="1:24" ht="17" x14ac:dyDescent="0.2">
      <c r="A75" s="35"/>
      <c r="C75" s="234" t="s">
        <v>51</v>
      </c>
      <c r="D75" s="236" t="s">
        <v>115</v>
      </c>
      <c r="E75" s="241"/>
      <c r="F75" s="48"/>
      <c r="G75" s="100"/>
      <c r="H75" s="48">
        <v>6.9</v>
      </c>
      <c r="I75" s="48" t="s">
        <v>163</v>
      </c>
      <c r="J75" s="103"/>
      <c r="K75" s="58"/>
      <c r="L75" s="58"/>
      <c r="M75" s="105"/>
      <c r="N75" s="58"/>
      <c r="O75" s="97"/>
      <c r="P75" s="107"/>
      <c r="Q75" s="88" t="s">
        <v>95</v>
      </c>
      <c r="R75" s="88"/>
      <c r="S75" s="110"/>
      <c r="T75" s="88" t="s">
        <v>95</v>
      </c>
      <c r="U75" s="88"/>
      <c r="V75" s="110"/>
      <c r="W75" s="57">
        <f>ROUND(IF(H75&gt;0,H75,6.9)*0.0514,3)</f>
        <v>0.35499999999999998</v>
      </c>
      <c r="X75" s="57" t="s">
        <v>163</v>
      </c>
    </row>
    <row r="76" spans="1:24" ht="17" x14ac:dyDescent="0.2">
      <c r="A76" s="35"/>
      <c r="C76" s="234" t="s">
        <v>52</v>
      </c>
      <c r="D76" s="236" t="s">
        <v>115</v>
      </c>
      <c r="E76" s="241"/>
      <c r="F76" s="48"/>
      <c r="G76" s="100"/>
      <c r="H76" s="48">
        <v>2</v>
      </c>
      <c r="I76" s="48" t="s">
        <v>163</v>
      </c>
      <c r="J76" s="103"/>
      <c r="K76" s="58"/>
      <c r="L76" s="58"/>
      <c r="M76" s="105"/>
      <c r="N76" s="48"/>
      <c r="O76" s="96"/>
      <c r="P76" s="106"/>
      <c r="Q76" s="87" t="s">
        <v>95</v>
      </c>
      <c r="R76" s="87"/>
      <c r="S76" s="109"/>
      <c r="T76" s="87" t="s">
        <v>95</v>
      </c>
      <c r="U76" s="87"/>
      <c r="V76" s="109"/>
      <c r="W76" s="57">
        <f>ROUND(IF(H76&gt;0,H76,2)*0.0514,3)</f>
        <v>0.10299999999999999</v>
      </c>
      <c r="X76" s="57" t="s">
        <v>163</v>
      </c>
    </row>
    <row r="77" spans="1:24" ht="17" x14ac:dyDescent="0.2">
      <c r="A77" s="35"/>
      <c r="C77" s="234" t="s">
        <v>53</v>
      </c>
      <c r="D77" s="236" t="s">
        <v>115</v>
      </c>
      <c r="E77" s="241"/>
      <c r="F77" s="48"/>
      <c r="G77" s="100"/>
      <c r="H77" s="48">
        <v>2</v>
      </c>
      <c r="I77" s="48" t="s">
        <v>162</v>
      </c>
      <c r="J77" s="103"/>
      <c r="K77" s="58"/>
      <c r="L77" s="58"/>
      <c r="M77" s="105"/>
      <c r="N77" s="48"/>
      <c r="O77" s="96"/>
      <c r="P77" s="106"/>
      <c r="Q77" s="87" t="s">
        <v>95</v>
      </c>
      <c r="R77" s="87"/>
      <c r="S77" s="109"/>
      <c r="T77" s="87" t="s">
        <v>95</v>
      </c>
      <c r="U77" s="87"/>
      <c r="V77" s="109"/>
      <c r="W77" s="57">
        <f>ROUND(IF(H77&gt;0,H77,2)*0.0514,3)</f>
        <v>0.10299999999999999</v>
      </c>
      <c r="X77" s="57" t="s">
        <v>162</v>
      </c>
    </row>
    <row r="78" spans="1:24" ht="17" x14ac:dyDescent="0.2">
      <c r="A78" s="35"/>
      <c r="C78" s="234" t="s">
        <v>63</v>
      </c>
      <c r="D78" s="236" t="s">
        <v>115</v>
      </c>
      <c r="E78" s="240"/>
      <c r="F78" s="50"/>
      <c r="G78" s="99"/>
      <c r="H78" s="50">
        <v>19</v>
      </c>
      <c r="I78" s="50" t="s">
        <v>162</v>
      </c>
      <c r="J78" s="102"/>
      <c r="K78" s="50">
        <f>ROUND(0.836*12.011/44.01,3)</f>
        <v>0.22800000000000001</v>
      </c>
      <c r="L78" s="50" t="s">
        <v>162</v>
      </c>
      <c r="M78" s="102"/>
      <c r="N78" s="48">
        <f>ROUND(IF(K78&gt;0,44.01*K78/12.011,IF(E78&gt;0, E78,19)*0.044),3)</f>
        <v>0.83499999999999996</v>
      </c>
      <c r="O78" s="96" t="s">
        <v>162</v>
      </c>
      <c r="P78" s="106"/>
      <c r="Q78" s="87">
        <v>1.9000000000000001E-5</v>
      </c>
      <c r="R78" s="87" t="s">
        <v>173</v>
      </c>
      <c r="S78" s="109"/>
      <c r="T78" s="87">
        <v>1.9999999999999999E-6</v>
      </c>
      <c r="U78" s="87" t="s">
        <v>173</v>
      </c>
      <c r="V78" s="109"/>
      <c r="W78" s="57">
        <f>ROUND(IF(H78&gt;0,H78,19)*IF(W73&gt;0,W73,0.504)/IF(H73&gt;0,H73,9.8),3)</f>
        <v>0.97699999999999998</v>
      </c>
      <c r="X78" s="57" t="s">
        <v>162</v>
      </c>
    </row>
    <row r="79" spans="1:24" ht="17" x14ac:dyDescent="0.2">
      <c r="A79" s="35"/>
      <c r="C79" s="234" t="s">
        <v>54</v>
      </c>
      <c r="D79" s="236" t="s">
        <v>115</v>
      </c>
      <c r="E79" s="240"/>
      <c r="F79" s="50"/>
      <c r="G79" s="99"/>
      <c r="H79" s="50">
        <v>3.3</v>
      </c>
      <c r="I79" s="50" t="s">
        <v>162</v>
      </c>
      <c r="J79" s="102"/>
      <c r="K79" s="50">
        <f>ROUND(0.891*12.011/44.01,3)</f>
        <v>0.24299999999999999</v>
      </c>
      <c r="L79" s="50" t="s">
        <v>162</v>
      </c>
      <c r="M79" s="102"/>
      <c r="N79" s="48">
        <f>ROUND(IF(K79&gt;0,44.01*K79/12.011,IF(E79&gt;0,E79,3.3)*0.27),3)</f>
        <v>0.89</v>
      </c>
      <c r="O79" s="96" t="s">
        <v>162</v>
      </c>
      <c r="P79" s="106"/>
      <c r="Q79" s="87">
        <v>3.0000000000000001E-6</v>
      </c>
      <c r="R79" s="87" t="s">
        <v>173</v>
      </c>
      <c r="S79" s="109"/>
      <c r="T79" s="87">
        <v>9.9999999999999995E-7</v>
      </c>
      <c r="U79" s="87" t="s">
        <v>173</v>
      </c>
      <c r="V79" s="109"/>
      <c r="W79" s="57">
        <f>ROUND(IF(H79&gt;0,H79,3.3)*IF(W73&gt;0,W73,0.504)/IF(H73&gt;0,H73,9.8),3)</f>
        <v>0.17</v>
      </c>
      <c r="X79" s="57" t="s">
        <v>162</v>
      </c>
    </row>
    <row r="80" spans="1:24" ht="17" x14ac:dyDescent="0.2">
      <c r="A80" s="35"/>
      <c r="C80" s="234" t="s">
        <v>55</v>
      </c>
      <c r="D80" s="236" t="s">
        <v>115</v>
      </c>
      <c r="E80" s="240"/>
      <c r="F80" s="50"/>
      <c r="G80" s="99"/>
      <c r="H80" s="50">
        <v>8.4</v>
      </c>
      <c r="I80" s="50" t="s">
        <v>162</v>
      </c>
      <c r="J80" s="102"/>
      <c r="K80" s="50">
        <f>ROUND(1.512*12.011/44.01,3)</f>
        <v>0.41299999999999998</v>
      </c>
      <c r="L80" s="50" t="s">
        <v>162</v>
      </c>
      <c r="M80" s="102"/>
      <c r="N80" s="48">
        <f>ROUND(IF(K80&gt;0,44.01*K80/12.011,IF(E80&gt;0, E80,8.4)*0.18),3)</f>
        <v>1.5129999999999999</v>
      </c>
      <c r="O80" s="96" t="s">
        <v>162</v>
      </c>
      <c r="P80" s="106"/>
      <c r="Q80" s="87">
        <v>7.9999999999999996E-6</v>
      </c>
      <c r="R80" s="87" t="s">
        <v>173</v>
      </c>
      <c r="S80" s="109"/>
      <c r="T80" s="87">
        <v>9.9999999999999995E-7</v>
      </c>
      <c r="U80" s="87" t="s">
        <v>173</v>
      </c>
      <c r="V80" s="109"/>
      <c r="W80" s="57">
        <f>ROUND(IF(H80&gt;0,H80,8.4)*IF(W73&gt;0,W73,0.504)/IF(H73&gt;0,H73,9.8),3)</f>
        <v>0.432</v>
      </c>
      <c r="X80" s="57" t="s">
        <v>162</v>
      </c>
    </row>
    <row r="81" spans="1:24" x14ac:dyDescent="0.2">
      <c r="A81" s="35"/>
      <c r="C81" s="234" t="s">
        <v>71</v>
      </c>
      <c r="D81" s="236" t="s">
        <v>58</v>
      </c>
      <c r="E81" s="240"/>
      <c r="F81" s="50"/>
      <c r="G81" s="99"/>
      <c r="H81" s="50">
        <v>1</v>
      </c>
      <c r="I81" s="50" t="s">
        <v>162</v>
      </c>
      <c r="J81" s="102"/>
      <c r="K81" s="50"/>
      <c r="L81" s="50"/>
      <c r="M81" s="102"/>
      <c r="N81" s="48"/>
      <c r="O81" s="96"/>
      <c r="P81" s="106"/>
      <c r="Q81" s="87" t="s">
        <v>95</v>
      </c>
      <c r="R81" s="87"/>
      <c r="S81" s="109"/>
      <c r="T81" s="87" t="s">
        <v>95</v>
      </c>
      <c r="U81" s="87"/>
      <c r="V81" s="109"/>
      <c r="W81" s="57">
        <f>ROUND(H81*IF(W73&gt;0,W73,0.504)/IF(H73&gt;0,H73,9.8),3)</f>
        <v>5.0999999999999997E-2</v>
      </c>
      <c r="X81" s="57"/>
    </row>
    <row r="82" spans="1:24" ht="17" x14ac:dyDescent="0.2">
      <c r="A82" s="35"/>
      <c r="C82" s="234" t="s">
        <v>82</v>
      </c>
      <c r="D82" s="236" t="s">
        <v>112</v>
      </c>
      <c r="E82" s="240"/>
      <c r="F82" s="50"/>
      <c r="G82" s="99"/>
      <c r="H82" s="50">
        <v>23.574999999999999</v>
      </c>
      <c r="I82" s="50" t="s">
        <v>165</v>
      </c>
      <c r="J82" s="102"/>
      <c r="K82" s="50">
        <f>ROUND(0.52*0.789,3)</f>
        <v>0.41</v>
      </c>
      <c r="L82" s="50" t="s">
        <v>162</v>
      </c>
      <c r="M82" s="102"/>
      <c r="N82" s="48"/>
      <c r="O82" s="96"/>
      <c r="P82" s="106"/>
      <c r="Q82" s="87" t="s">
        <v>95</v>
      </c>
      <c r="R82" s="87"/>
      <c r="S82" s="109"/>
      <c r="T82" s="87" t="s">
        <v>95</v>
      </c>
      <c r="U82" s="87"/>
      <c r="V82" s="109"/>
      <c r="W82" s="57">
        <v>1.494</v>
      </c>
      <c r="X82" s="57" t="s">
        <v>165</v>
      </c>
    </row>
    <row r="83" spans="1:24" ht="17" x14ac:dyDescent="0.2">
      <c r="A83" s="35"/>
      <c r="C83" s="234" t="s">
        <v>83</v>
      </c>
      <c r="D83" s="236" t="s">
        <v>112</v>
      </c>
      <c r="E83" s="240"/>
      <c r="F83" s="50"/>
      <c r="G83" s="99"/>
      <c r="H83" s="50">
        <v>15.662000000000001</v>
      </c>
      <c r="I83" s="50" t="s">
        <v>165</v>
      </c>
      <c r="J83" s="102"/>
      <c r="K83" s="50">
        <f>ROUND(0.37*0.791,3)</f>
        <v>0.29299999999999998</v>
      </c>
      <c r="L83" s="50" t="s">
        <v>162</v>
      </c>
      <c r="M83" s="102"/>
      <c r="N83" s="48"/>
      <c r="O83" s="96"/>
      <c r="P83" s="106"/>
      <c r="Q83" s="87" t="s">
        <v>95</v>
      </c>
      <c r="R83" s="87"/>
      <c r="S83" s="109"/>
      <c r="T83" s="87" t="s">
        <v>95</v>
      </c>
      <c r="U83" s="87"/>
      <c r="V83" s="109"/>
      <c r="W83" s="57">
        <f>ROUND(0.0688*19.9,3)</f>
        <v>1.369</v>
      </c>
      <c r="X83" s="57" t="s">
        <v>165</v>
      </c>
    </row>
    <row r="84" spans="1:24" x14ac:dyDescent="0.2">
      <c r="A84" s="35"/>
      <c r="C84" s="234" t="s">
        <v>81</v>
      </c>
      <c r="D84" s="236" t="s">
        <v>27</v>
      </c>
      <c r="E84" s="240"/>
      <c r="F84" s="50"/>
      <c r="G84" s="99"/>
      <c r="H84" s="50">
        <v>37.5</v>
      </c>
      <c r="I84" s="50" t="s">
        <v>165</v>
      </c>
      <c r="J84" s="102"/>
      <c r="K84" s="50"/>
      <c r="L84" s="50"/>
      <c r="M84" s="102"/>
      <c r="N84" s="48"/>
      <c r="O84" s="96"/>
      <c r="P84" s="106"/>
      <c r="Q84" s="87" t="s">
        <v>95</v>
      </c>
      <c r="R84" s="87"/>
      <c r="S84" s="109"/>
      <c r="T84" s="87" t="s">
        <v>95</v>
      </c>
      <c r="U84" s="87"/>
      <c r="V84" s="109"/>
      <c r="W84" s="57">
        <v>1.6</v>
      </c>
      <c r="X84" s="57" t="s">
        <v>165</v>
      </c>
    </row>
    <row r="85" spans="1:24" x14ac:dyDescent="0.2">
      <c r="A85" s="35"/>
      <c r="C85" s="234" t="s">
        <v>78</v>
      </c>
      <c r="D85" s="236" t="s">
        <v>14</v>
      </c>
      <c r="E85" s="241"/>
      <c r="F85" s="48"/>
      <c r="G85" s="100"/>
      <c r="H85" s="48"/>
      <c r="I85" s="48"/>
      <c r="J85" s="103"/>
      <c r="K85" s="48"/>
      <c r="L85" s="48"/>
      <c r="M85" s="103"/>
      <c r="N85" s="48"/>
      <c r="O85" s="96"/>
      <c r="P85" s="106"/>
      <c r="Q85" s="87" t="s">
        <v>95</v>
      </c>
      <c r="R85" s="87"/>
      <c r="S85" s="109"/>
      <c r="T85" s="87" t="s">
        <v>95</v>
      </c>
      <c r="U85" s="87"/>
      <c r="V85" s="109"/>
      <c r="W85" s="57">
        <v>0.55000000000000004</v>
      </c>
      <c r="X85" s="57" t="s">
        <v>162</v>
      </c>
    </row>
    <row r="86" spans="1:24" x14ac:dyDescent="0.2">
      <c r="A86" s="35"/>
      <c r="C86" s="234" t="s">
        <v>79</v>
      </c>
      <c r="D86" s="236" t="s">
        <v>14</v>
      </c>
      <c r="E86" s="241"/>
      <c r="F86" s="48"/>
      <c r="G86" s="100"/>
      <c r="H86" s="48"/>
      <c r="I86" s="48"/>
      <c r="J86" s="103"/>
      <c r="K86" s="48"/>
      <c r="L86" s="48"/>
      <c r="M86" s="103"/>
      <c r="N86" s="48"/>
      <c r="O86" s="96"/>
      <c r="P86" s="106"/>
      <c r="Q86" s="87" t="s">
        <v>95</v>
      </c>
      <c r="R86" s="87"/>
      <c r="S86" s="109"/>
      <c r="T86" s="87" t="s">
        <v>95</v>
      </c>
      <c r="U86" s="87"/>
      <c r="V86" s="109"/>
      <c r="W86" s="57">
        <v>0.3</v>
      </c>
      <c r="X86" s="57" t="s">
        <v>162</v>
      </c>
    </row>
    <row r="87" spans="1:24" x14ac:dyDescent="0.2">
      <c r="A87" s="35"/>
      <c r="C87" s="234" t="s">
        <v>70</v>
      </c>
      <c r="D87" s="236" t="s">
        <v>14</v>
      </c>
      <c r="E87" s="241"/>
      <c r="F87" s="48"/>
      <c r="G87" s="100"/>
      <c r="H87" s="48"/>
      <c r="I87" s="48"/>
      <c r="J87" s="103"/>
      <c r="K87" s="48"/>
      <c r="L87" s="48"/>
      <c r="M87" s="103"/>
      <c r="N87" s="48"/>
      <c r="O87" s="96"/>
      <c r="P87" s="106"/>
      <c r="Q87" s="87" t="s">
        <v>95</v>
      </c>
      <c r="R87" s="87"/>
      <c r="S87" s="109"/>
      <c r="T87" s="87" t="s">
        <v>95</v>
      </c>
      <c r="U87" s="87"/>
      <c r="V87" s="109"/>
      <c r="W87" s="57">
        <v>0.3</v>
      </c>
      <c r="X87" s="57" t="s">
        <v>162</v>
      </c>
    </row>
    <row r="88" spans="1:24" x14ac:dyDescent="0.2">
      <c r="A88" s="35"/>
      <c r="C88" s="238" t="s">
        <v>97</v>
      </c>
      <c r="D88" s="236" t="s">
        <v>27</v>
      </c>
      <c r="E88" s="241"/>
      <c r="F88" s="48"/>
      <c r="G88" s="100"/>
      <c r="H88" s="48"/>
      <c r="I88" s="48"/>
      <c r="J88" s="103"/>
      <c r="K88" s="48"/>
      <c r="L88" s="48"/>
      <c r="M88" s="103"/>
      <c r="N88" s="48">
        <v>1</v>
      </c>
      <c r="O88" s="96" t="s">
        <v>162</v>
      </c>
      <c r="P88" s="106"/>
      <c r="Q88" s="87" t="s">
        <v>95</v>
      </c>
      <c r="R88" s="87"/>
      <c r="S88" s="109"/>
      <c r="T88" s="87" t="s">
        <v>95</v>
      </c>
      <c r="U88" s="87"/>
      <c r="V88" s="109"/>
      <c r="W88" s="57"/>
      <c r="X88" s="57"/>
    </row>
    <row r="89" spans="1:24" x14ac:dyDescent="0.2">
      <c r="A89" s="35"/>
      <c r="C89" s="238" t="s">
        <v>98</v>
      </c>
      <c r="D89" s="236" t="s">
        <v>27</v>
      </c>
      <c r="E89" s="241"/>
      <c r="F89" s="48"/>
      <c r="G89" s="100"/>
      <c r="H89" s="48"/>
      <c r="I89" s="48"/>
      <c r="J89" s="103"/>
      <c r="K89" s="48"/>
      <c r="L89" s="48"/>
      <c r="M89" s="103"/>
      <c r="N89" s="48">
        <v>1</v>
      </c>
      <c r="O89" s="96" t="s">
        <v>162</v>
      </c>
      <c r="P89" s="106"/>
      <c r="Q89" s="87" t="s">
        <v>95</v>
      </c>
      <c r="R89" s="87"/>
      <c r="S89" s="109"/>
      <c r="T89" s="87" t="s">
        <v>95</v>
      </c>
      <c r="U89" s="87"/>
      <c r="V89" s="109"/>
      <c r="W89" s="57"/>
      <c r="X89" s="57"/>
    </row>
    <row r="90" spans="1:24" x14ac:dyDescent="0.2">
      <c r="A90" s="33"/>
      <c r="C90" s="234" t="s">
        <v>56</v>
      </c>
      <c r="D90" s="236" t="s">
        <v>27</v>
      </c>
      <c r="E90" s="241">
        <v>37</v>
      </c>
      <c r="F90" s="48" t="s">
        <v>168</v>
      </c>
      <c r="G90" s="100"/>
      <c r="H90" s="48"/>
      <c r="I90" s="48"/>
      <c r="J90" s="103"/>
      <c r="K90" s="48"/>
      <c r="L90" s="48"/>
      <c r="M90" s="103"/>
      <c r="N90" s="48">
        <f>ROUND(44.01*0.925/12.011,3)</f>
        <v>3.3889999999999998</v>
      </c>
      <c r="O90" s="96" t="s">
        <v>168</v>
      </c>
      <c r="P90" s="106"/>
      <c r="Q90" s="87">
        <v>3.6999999999999999E-4</v>
      </c>
      <c r="R90" s="87" t="s">
        <v>173</v>
      </c>
      <c r="S90" s="109"/>
      <c r="T90" s="87">
        <v>5.5999999999999999E-5</v>
      </c>
      <c r="U90" s="87" t="s">
        <v>173</v>
      </c>
      <c r="V90" s="109"/>
      <c r="W90" s="57"/>
      <c r="X90" s="57"/>
    </row>
    <row r="91" spans="1:24" x14ac:dyDescent="0.2">
      <c r="A91" s="33"/>
      <c r="C91" s="234" t="s">
        <v>57</v>
      </c>
      <c r="D91" s="236" t="s">
        <v>27</v>
      </c>
      <c r="E91" s="242">
        <v>40.57</v>
      </c>
      <c r="F91" s="52" t="s">
        <v>162</v>
      </c>
      <c r="G91" s="101"/>
      <c r="H91" s="52"/>
      <c r="I91" s="52"/>
      <c r="J91" s="104"/>
      <c r="K91" s="52"/>
      <c r="L91" s="52"/>
      <c r="M91" s="104"/>
      <c r="N91" s="52">
        <f>ROUND(44.01*0.923/12.011,3)</f>
        <v>3.3820000000000001</v>
      </c>
      <c r="O91" s="98" t="s">
        <v>162</v>
      </c>
      <c r="P91" s="108"/>
      <c r="Q91" s="89" t="s">
        <v>95</v>
      </c>
      <c r="R91" s="89"/>
      <c r="S91" s="111"/>
      <c r="T91" s="89" t="s">
        <v>95</v>
      </c>
      <c r="U91" s="89"/>
      <c r="V91" s="111"/>
      <c r="W91" s="61"/>
      <c r="X91" s="61"/>
    </row>
  </sheetData>
  <mergeCells count="5">
    <mergeCell ref="C8:C10"/>
    <mergeCell ref="D8:D10"/>
    <mergeCell ref="E8:X8"/>
    <mergeCell ref="Q9:R9"/>
    <mergeCell ref="T9:U9"/>
  </mergeCells>
  <conditionalFormatting sqref="E11:X91">
    <cfRule type="cellIs" dxfId="0" priority="1" operator="equal">
      <formula>"na"</formula>
    </cfRule>
  </conditionalFormatting>
  <dataValidations count="4">
    <dataValidation allowBlank="1" showInputMessage="1" showErrorMessage="1" errorTitle="Data Format" error="The value entered does not match the format of cell._x000a__x000a_This is a fixed value cell. It should be left blank." sqref="W12:X18 W34 W36" xr:uid="{000D787B-8566-4D12-B610-61DE190B5819}"/>
    <dataValidation allowBlank="1" showInputMessage="1" showErrorMessage="1" errorTitle="Grid Not Recognized" error="The value entered does not correspond to one of the Sources of Electricity Grid Information accpeted by the worldsteel methodology." sqref="W73:X73" xr:uid="{474265DD-E64F-4A94-977A-A17C812636C8}"/>
    <dataValidation type="custom" allowBlank="1" showInputMessage="1" showErrorMessage="1" errorTitle="Data format " error="The value entered does not match the format of cell._x000a_The value entered does not match the format of cell._x000a__x000a_This is a fixed value cell." sqref="N88:V89" xr:uid="{B4112F80-E065-4A77-81FF-4932284DC3B1}">
      <formula1>1</formula1>
    </dataValidation>
    <dataValidation type="custom" allowBlank="1" showInputMessage="1" showErrorMessage="1" errorTitle="Data Format" error="The value entered does not match the format of cell._x000a__x000a_This is a fixed value cell. It should be left blank." sqref="K22:M27 K30:M32 K37:M40 K81:P81 N82:P87 K84:M91 W27:X27 U30:U32 X34 W88:X91 W11:X11 W21:X23 Q81:V87 K35:V35 K73:V77 R30:R32 N37:V39 V20:X20 K20:Q20 S20:T20 N30:Q33 V46 N46:Q46 S46:T46 S30:T33 V30:V33 X36" xr:uid="{944ABB41-2B4F-4804-8D04-A1FDC70B5AC1}">
      <formula1>0</formula1>
    </dataValidation>
  </dataValidations>
  <hyperlinks>
    <hyperlink ref="X32" r:id="rId1" xr:uid="{EB106520-5B42-4ED4-957B-2F08F5F8E6D3}"/>
    <hyperlink ref="X58" r:id="rId2" xr:uid="{EC2525B8-BB09-4C61-910C-667DF9855C68}"/>
    <hyperlink ref="X65" r:id="rId3" xr:uid="{71657BF2-3A93-45C7-89D9-4ACBBFBD7772}"/>
    <hyperlink ref="X71" r:id="rId4" xr:uid="{97161E21-B81F-40B1-8214-035F2C377B29}"/>
    <hyperlink ref="X34" r:id="rId5" xr:uid="{A1D5C254-3AAE-4CD5-83BA-F5E23E0002E3}"/>
    <hyperlink ref="X36" r:id="rId6" xr:uid="{38DF4A32-0E8F-4A82-AA49-3E935B22883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2E5DE-6FE1-41BC-B178-9B4D80AE0DAE}">
  <sheetPr codeName="Sheet2">
    <tabColor theme="9" tint="0.79998168889431442"/>
  </sheetPr>
  <dimension ref="B2:O55"/>
  <sheetViews>
    <sheetView workbookViewId="0">
      <selection activeCell="N25" sqref="N25"/>
    </sheetView>
  </sheetViews>
  <sheetFormatPr baseColWidth="10" defaultColWidth="8.83203125" defaultRowHeight="15" x14ac:dyDescent="0.2"/>
  <cols>
    <col min="2" max="2" width="11.1640625" customWidth="1"/>
    <col min="3" max="6" width="11.6640625" customWidth="1"/>
    <col min="9" max="9" width="18.83203125" bestFit="1" customWidth="1"/>
    <col min="10" max="10" width="14.83203125" bestFit="1" customWidth="1"/>
    <col min="11" max="11" width="17.6640625" bestFit="1" customWidth="1"/>
    <col min="12" max="15" width="12.33203125" customWidth="1"/>
  </cols>
  <sheetData>
    <row r="2" spans="2:15" x14ac:dyDescent="0.2">
      <c r="C2" s="453" t="s">
        <v>85</v>
      </c>
      <c r="D2" s="454"/>
      <c r="E2" s="453" t="s">
        <v>86</v>
      </c>
      <c r="F2" s="454"/>
      <c r="I2" s="82" t="s">
        <v>106</v>
      </c>
      <c r="J2" s="67" t="s">
        <v>5</v>
      </c>
      <c r="K2" s="68" t="s">
        <v>120</v>
      </c>
    </row>
    <row r="3" spans="2:15" ht="33" customHeight="1" x14ac:dyDescent="0.2">
      <c r="B3" s="451" t="s">
        <v>66</v>
      </c>
      <c r="C3" s="2" t="s">
        <v>5</v>
      </c>
      <c r="D3" s="1" t="s">
        <v>6</v>
      </c>
      <c r="E3" s="2" t="s">
        <v>5</v>
      </c>
      <c r="F3" s="1" t="s">
        <v>6</v>
      </c>
      <c r="I3" s="82" t="s">
        <v>119</v>
      </c>
      <c r="J3" s="67" t="s">
        <v>62</v>
      </c>
      <c r="K3" s="68" t="s">
        <v>121</v>
      </c>
    </row>
    <row r="4" spans="2:15" x14ac:dyDescent="0.2">
      <c r="B4" s="452"/>
      <c r="C4" s="3" t="s">
        <v>62</v>
      </c>
      <c r="D4" s="4" t="s">
        <v>61</v>
      </c>
      <c r="E4" s="3" t="s">
        <v>62</v>
      </c>
      <c r="F4" s="4" t="s">
        <v>61</v>
      </c>
      <c r="H4" s="55"/>
      <c r="I4" s="62" t="s">
        <v>66</v>
      </c>
      <c r="J4" s="66" t="e">
        <f>'Plant-Level Reporting (1)'!#REF!</f>
        <v>#REF!</v>
      </c>
      <c r="K4" s="81" t="e">
        <f>'Plant-Level Reporting (1)'!#REF!</f>
        <v>#REF!</v>
      </c>
    </row>
    <row r="5" spans="2:15" x14ac:dyDescent="0.2">
      <c r="B5" s="18">
        <v>2000</v>
      </c>
      <c r="C5" s="23">
        <v>9.8000000000000007</v>
      </c>
      <c r="D5" s="20">
        <v>0.504</v>
      </c>
      <c r="E5" s="11">
        <f>IF(C5&lt;&gt;"",C5,E4)</f>
        <v>9.8000000000000007</v>
      </c>
      <c r="F5" s="12">
        <f>IF(D5&lt;&gt;"",D5,F4)</f>
        <v>0.504</v>
      </c>
      <c r="H5" s="55"/>
      <c r="I5" s="54" t="s">
        <v>59</v>
      </c>
      <c r="J5" s="63">
        <f>'Plant-Level Reporting (1)'!D80</f>
        <v>9.8000000000000007</v>
      </c>
      <c r="K5" s="79">
        <f>'Plant-Level Reporting (1)'!E80</f>
        <v>0.7</v>
      </c>
    </row>
    <row r="6" spans="2:15" x14ac:dyDescent="0.2">
      <c r="B6" s="19">
        <v>2001</v>
      </c>
      <c r="C6" s="23">
        <v>9.8000000000000007</v>
      </c>
      <c r="D6" s="20">
        <v>0.504</v>
      </c>
      <c r="E6" s="13">
        <f t="shared" ref="E6:E30" si="0">IF(C6&lt;&gt;"",C6,E5)</f>
        <v>9.8000000000000007</v>
      </c>
      <c r="F6" s="14">
        <f t="shared" ref="F6:F30" si="1">IF(D6&lt;&gt;"",D6,F5)</f>
        <v>0.504</v>
      </c>
      <c r="H6" s="55"/>
      <c r="I6" s="70" t="s">
        <v>60</v>
      </c>
      <c r="J6" s="76">
        <f>'Plant-Level Reporting (1)'!D81</f>
        <v>9.8000000000000007</v>
      </c>
      <c r="K6" s="80">
        <f>'Plant-Level Reporting (1)'!E81</f>
        <v>0.79800000000000004</v>
      </c>
    </row>
    <row r="7" spans="2:15" x14ac:dyDescent="0.2">
      <c r="B7" s="19">
        <v>2002</v>
      </c>
      <c r="C7" s="23">
        <v>9.8000000000000007</v>
      </c>
      <c r="D7" s="20">
        <v>0.504</v>
      </c>
      <c r="E7" s="13">
        <f t="shared" si="0"/>
        <v>9.8000000000000007</v>
      </c>
      <c r="F7" s="14">
        <f t="shared" si="1"/>
        <v>0.504</v>
      </c>
    </row>
    <row r="8" spans="2:15" x14ac:dyDescent="0.2">
      <c r="B8" s="19">
        <v>2003</v>
      </c>
      <c r="C8" s="23">
        <v>9.8000000000000007</v>
      </c>
      <c r="D8" s="20">
        <v>0.504</v>
      </c>
      <c r="E8" s="13">
        <f t="shared" si="0"/>
        <v>9.8000000000000007</v>
      </c>
      <c r="F8" s="14">
        <f t="shared" si="1"/>
        <v>0.504</v>
      </c>
      <c r="I8" s="83" t="s">
        <v>122</v>
      </c>
      <c r="J8" s="84">
        <f>'Plant-Level Reporting (1)'!P153</f>
        <v>0</v>
      </c>
      <c r="K8" s="85">
        <f>'Plant-Level Reporting (1)'!U153</f>
        <v>0.7</v>
      </c>
    </row>
    <row r="9" spans="2:15" x14ac:dyDescent="0.2">
      <c r="B9" s="19">
        <v>2004</v>
      </c>
      <c r="C9" s="23">
        <v>9.8000000000000007</v>
      </c>
      <c r="D9" s="20">
        <v>0.504</v>
      </c>
      <c r="E9" s="13">
        <f t="shared" si="0"/>
        <v>9.8000000000000007</v>
      </c>
      <c r="F9" s="14">
        <f t="shared" si="1"/>
        <v>0.504</v>
      </c>
      <c r="L9" s="455" t="s">
        <v>133</v>
      </c>
      <c r="M9" s="455"/>
      <c r="N9" s="456" t="s">
        <v>91</v>
      </c>
      <c r="O9" s="456"/>
    </row>
    <row r="10" spans="2:15" x14ac:dyDescent="0.2">
      <c r="B10" s="19">
        <v>2005</v>
      </c>
      <c r="C10" s="23">
        <v>9.8000000000000007</v>
      </c>
      <c r="D10" s="20">
        <v>0.504</v>
      </c>
      <c r="E10" s="13">
        <f>IF(C10&lt;&gt;"",C10,E9)</f>
        <v>9.8000000000000007</v>
      </c>
      <c r="F10" s="14">
        <f>IF(D10&lt;&gt;"",D10,F9)</f>
        <v>0.504</v>
      </c>
      <c r="I10" s="82" t="s">
        <v>123</v>
      </c>
      <c r="J10" s="67" t="s">
        <v>124</v>
      </c>
      <c r="K10" s="67" t="s">
        <v>125</v>
      </c>
      <c r="L10" s="67" t="s">
        <v>126</v>
      </c>
      <c r="M10" s="68" t="s">
        <v>127</v>
      </c>
      <c r="N10" s="67" t="s">
        <v>126</v>
      </c>
      <c r="O10" s="68" t="s">
        <v>127</v>
      </c>
    </row>
    <row r="11" spans="2:15" x14ac:dyDescent="0.2">
      <c r="B11" s="19">
        <v>2006</v>
      </c>
      <c r="C11" s="23">
        <v>9.8000000000000007</v>
      </c>
      <c r="D11" s="20">
        <v>0.504</v>
      </c>
      <c r="E11" s="13">
        <f t="shared" si="0"/>
        <v>9.8000000000000007</v>
      </c>
      <c r="F11" s="14">
        <f t="shared" si="1"/>
        <v>0.504</v>
      </c>
      <c r="I11" s="69" t="s">
        <v>48</v>
      </c>
      <c r="J11" s="71">
        <f>'Plant-Level Reporting (1)'!P153-'Plant-Level Reporting (1)'!I153</f>
        <v>-9.8000000000000007</v>
      </c>
      <c r="K11" s="71">
        <f>'Plant-Level Reporting (1)'!U153-'Plant-Level Reporting (1)'!N153</f>
        <v>0.19599999999999995</v>
      </c>
      <c r="L11" s="72">
        <f>ROUND($K11*('Plant-Level Reporting (1)'!$F153-'Plant-Level Reporting (1)'!$G153),6)</f>
        <v>0</v>
      </c>
      <c r="M11" s="73"/>
      <c r="N11" s="72" t="e">
        <f>ROUND($K11*('Plant-Level Reporting (1)'!#REF!-'Plant-Level Reporting (1)'!#REF!),6)</f>
        <v>#REF!</v>
      </c>
      <c r="O11" s="73"/>
    </row>
    <row r="12" spans="2:15" x14ac:dyDescent="0.2">
      <c r="B12" s="19">
        <v>2007</v>
      </c>
      <c r="C12" s="23"/>
      <c r="D12" s="20"/>
      <c r="E12" s="13">
        <f t="shared" si="0"/>
        <v>9.8000000000000007</v>
      </c>
      <c r="F12" s="14">
        <f t="shared" si="1"/>
        <v>0.504</v>
      </c>
      <c r="I12" s="54" t="s">
        <v>50</v>
      </c>
      <c r="J12" s="63">
        <f>'Plant-Level Reporting (1)'!P154-'Plant-Level Reporting (1)'!I154</f>
        <v>-3.8</v>
      </c>
      <c r="K12" s="63">
        <f>'Plant-Level Reporting (1)'!U154-'Plant-Level Reporting (1)'!N154</f>
        <v>7.6000000000000012E-2</v>
      </c>
      <c r="L12" s="64">
        <f>ROUND($K12*('Plant-Level Reporting (1)'!$F154-'Plant-Level Reporting (1)'!$G154),6)</f>
        <v>0</v>
      </c>
      <c r="M12" s="74"/>
      <c r="N12" s="64" t="e">
        <f>ROUND($K12*('Plant-Level Reporting (1)'!#REF!-'Plant-Level Reporting (1)'!#REF!),6)</f>
        <v>#REF!</v>
      </c>
      <c r="O12" s="74"/>
    </row>
    <row r="13" spans="2:15" x14ac:dyDescent="0.2">
      <c r="B13" s="19">
        <v>2008</v>
      </c>
      <c r="C13" s="23"/>
      <c r="D13" s="20"/>
      <c r="E13" s="13">
        <f t="shared" si="0"/>
        <v>9.8000000000000007</v>
      </c>
      <c r="F13" s="14">
        <f t="shared" si="1"/>
        <v>0.504</v>
      </c>
      <c r="I13" s="54" t="s">
        <v>51</v>
      </c>
      <c r="J13" s="63">
        <f>'Plant-Level Reporting (1)'!P155-'Plant-Level Reporting (1)'!I155</f>
        <v>-6.9</v>
      </c>
      <c r="K13" s="63">
        <f>'Plant-Level Reporting (1)'!U155-'Plant-Level Reporting (1)'!N155</f>
        <v>0.13800000000000001</v>
      </c>
      <c r="L13" s="65"/>
      <c r="M13" s="75">
        <f>ROUND($K13*('Plant-Level Reporting (1)'!$F155-'Plant-Level Reporting (1)'!$G155),6)</f>
        <v>0</v>
      </c>
      <c r="N13" s="65"/>
      <c r="O13" s="75" t="e">
        <f>ROUND($K13*('Plant-Level Reporting (1)'!#REF!-'Plant-Level Reporting (1)'!#REF!),6)</f>
        <v>#REF!</v>
      </c>
    </row>
    <row r="14" spans="2:15" x14ac:dyDescent="0.2">
      <c r="B14" s="19">
        <v>2009</v>
      </c>
      <c r="C14" s="23"/>
      <c r="D14" s="20"/>
      <c r="E14" s="13">
        <f t="shared" si="0"/>
        <v>9.8000000000000007</v>
      </c>
      <c r="F14" s="14">
        <f t="shared" si="1"/>
        <v>0.504</v>
      </c>
      <c r="I14" s="54" t="s">
        <v>52</v>
      </c>
      <c r="J14" s="63">
        <f>'Plant-Level Reporting (1)'!P156-'Plant-Level Reporting (1)'!I156</f>
        <v>-2</v>
      </c>
      <c r="K14" s="63">
        <f>'Plant-Level Reporting (1)'!U156-'Plant-Level Reporting (1)'!N156</f>
        <v>3.9999999999999994E-2</v>
      </c>
      <c r="L14" s="65"/>
      <c r="M14" s="75">
        <f>ROUND($K14*('Plant-Level Reporting (1)'!$F156-'Plant-Level Reporting (1)'!$G156),6)</f>
        <v>0</v>
      </c>
      <c r="N14" s="65"/>
      <c r="O14" s="75" t="e">
        <f>ROUND($K14*('Plant-Level Reporting (1)'!#REF!-'Plant-Level Reporting (1)'!#REF!),6)</f>
        <v>#REF!</v>
      </c>
    </row>
    <row r="15" spans="2:15" x14ac:dyDescent="0.2">
      <c r="B15" s="19">
        <v>2010</v>
      </c>
      <c r="C15" s="23"/>
      <c r="D15" s="20">
        <v>0.52500000000000002</v>
      </c>
      <c r="E15" s="15">
        <f t="shared" si="0"/>
        <v>9.8000000000000007</v>
      </c>
      <c r="F15" s="14">
        <f t="shared" si="1"/>
        <v>0.52500000000000002</v>
      </c>
      <c r="I15" s="54" t="s">
        <v>53</v>
      </c>
      <c r="J15" s="63">
        <f>'Plant-Level Reporting (1)'!P157-'Plant-Level Reporting (1)'!I157</f>
        <v>-2</v>
      </c>
      <c r="K15" s="63">
        <f>'Plant-Level Reporting (1)'!U157-'Plant-Level Reporting (1)'!N157</f>
        <v>3.9999999999999994E-2</v>
      </c>
      <c r="L15" s="65"/>
      <c r="M15" s="75">
        <f>ROUND($K15*('Plant-Level Reporting (1)'!$F157-'Plant-Level Reporting (1)'!$G157),6)</f>
        <v>0</v>
      </c>
      <c r="N15" s="65"/>
      <c r="O15" s="75" t="e">
        <f>ROUND($K15*('Plant-Level Reporting (1)'!#REF!-'Plant-Level Reporting (1)'!#REF!),6)</f>
        <v>#REF!</v>
      </c>
    </row>
    <row r="16" spans="2:15" x14ac:dyDescent="0.2">
      <c r="B16" s="19">
        <v>2011</v>
      </c>
      <c r="C16" s="23"/>
      <c r="D16" s="20">
        <v>0.53300000000000003</v>
      </c>
      <c r="E16" s="15">
        <f t="shared" si="0"/>
        <v>9.8000000000000007</v>
      </c>
      <c r="F16" s="14">
        <f t="shared" si="1"/>
        <v>0.53300000000000003</v>
      </c>
      <c r="I16" s="54" t="s">
        <v>63</v>
      </c>
      <c r="J16" s="63">
        <f>'Plant-Level Reporting (1)'!P158-'Plant-Level Reporting (1)'!I158</f>
        <v>-19</v>
      </c>
      <c r="K16" s="63">
        <f>'Plant-Level Reporting (1)'!U158-'Plant-Level Reporting (1)'!N158</f>
        <v>0.38</v>
      </c>
      <c r="L16" s="64">
        <f>ROUND($K16*('Plant-Level Reporting (1)'!$F158-'Plant-Level Reporting (1)'!$G158),6)</f>
        <v>0</v>
      </c>
      <c r="M16" s="74"/>
      <c r="N16" s="64" t="e">
        <f>ROUND($K16*('Plant-Level Reporting (1)'!#REF!-'Plant-Level Reporting (1)'!#REF!),6)</f>
        <v>#REF!</v>
      </c>
      <c r="O16" s="74"/>
    </row>
    <row r="17" spans="2:15" x14ac:dyDescent="0.2">
      <c r="B17" s="19">
        <v>2012</v>
      </c>
      <c r="C17" s="23"/>
      <c r="D17" s="20">
        <v>0.53200000000000003</v>
      </c>
      <c r="E17" s="15">
        <f t="shared" si="0"/>
        <v>9.8000000000000007</v>
      </c>
      <c r="F17" s="14">
        <f t="shared" si="1"/>
        <v>0.53200000000000003</v>
      </c>
      <c r="I17" s="54" t="s">
        <v>54</v>
      </c>
      <c r="J17" s="63">
        <f>'Plant-Level Reporting (1)'!P159-'Plant-Level Reporting (1)'!I159</f>
        <v>-3.3</v>
      </c>
      <c r="K17" s="63">
        <f>'Plant-Level Reporting (1)'!U159-'Plant-Level Reporting (1)'!N159</f>
        <v>6.5999999999999975E-2</v>
      </c>
      <c r="L17" s="64">
        <f>ROUND($K17*('Plant-Level Reporting (1)'!$F159-'Plant-Level Reporting (1)'!$G159),6)</f>
        <v>0</v>
      </c>
      <c r="M17" s="74"/>
      <c r="N17" s="64" t="e">
        <f>ROUND($K17*('Plant-Level Reporting (1)'!#REF!-'Plant-Level Reporting (1)'!#REF!),6)</f>
        <v>#REF!</v>
      </c>
      <c r="O17" s="74"/>
    </row>
    <row r="18" spans="2:15" x14ac:dyDescent="0.2">
      <c r="B18" s="19">
        <v>2013</v>
      </c>
      <c r="C18" s="23"/>
      <c r="D18" s="20">
        <v>0.52800000000000002</v>
      </c>
      <c r="E18" s="15">
        <f t="shared" si="0"/>
        <v>9.8000000000000007</v>
      </c>
      <c r="F18" s="14">
        <f t="shared" si="1"/>
        <v>0.52800000000000002</v>
      </c>
      <c r="I18" s="54" t="s">
        <v>55</v>
      </c>
      <c r="J18" s="63">
        <f>'Plant-Level Reporting (1)'!P160-'Plant-Level Reporting (1)'!I160</f>
        <v>-8.4</v>
      </c>
      <c r="K18" s="63">
        <f>'Plant-Level Reporting (1)'!U160-'Plant-Level Reporting (1)'!N160</f>
        <v>0.16799999999999998</v>
      </c>
      <c r="L18" s="64">
        <f>ROUND($K18*('Plant-Level Reporting (1)'!$F160-'Plant-Level Reporting (1)'!$G160),6)</f>
        <v>0</v>
      </c>
      <c r="M18" s="74"/>
      <c r="N18" s="64" t="e">
        <f>ROUND($K18*('Plant-Level Reporting (1)'!#REF!-'Plant-Level Reporting (1)'!#REF!),6)</f>
        <v>#REF!</v>
      </c>
      <c r="O18" s="74"/>
    </row>
    <row r="19" spans="2:15" x14ac:dyDescent="0.2">
      <c r="B19" s="19">
        <v>2014</v>
      </c>
      <c r="C19" s="23"/>
      <c r="D19" s="20">
        <v>0.51800000000000002</v>
      </c>
      <c r="E19" s="15">
        <f t="shared" si="0"/>
        <v>9.8000000000000007</v>
      </c>
      <c r="F19" s="14">
        <f t="shared" si="1"/>
        <v>0.51800000000000002</v>
      </c>
      <c r="I19" s="70" t="s">
        <v>71</v>
      </c>
      <c r="J19" s="76">
        <f>'Plant-Level Reporting (1)'!P161-'Plant-Level Reporting (1)'!I161</f>
        <v>-1</v>
      </c>
      <c r="K19" s="76">
        <f>'Plant-Level Reporting (1)'!U161-'Plant-Level Reporting (1)'!N161</f>
        <v>1.9999999999999997E-2</v>
      </c>
      <c r="L19" s="77"/>
      <c r="M19" s="78">
        <f>ROUND($K19*('Plant-Level Reporting (1)'!$F161-'Plant-Level Reporting (1)'!$G161),6)</f>
        <v>0</v>
      </c>
      <c r="N19" s="77"/>
      <c r="O19" s="78" t="e">
        <f>ROUND($K19*('Plant-Level Reporting (1)'!#REF!-'Plant-Level Reporting (1)'!#REF!),6)</f>
        <v>#REF!</v>
      </c>
    </row>
    <row r="20" spans="2:15" x14ac:dyDescent="0.2">
      <c r="B20" s="19">
        <v>2015</v>
      </c>
      <c r="C20" s="23"/>
      <c r="D20" s="20">
        <v>0.502</v>
      </c>
      <c r="E20" s="15">
        <f t="shared" si="0"/>
        <v>9.8000000000000007</v>
      </c>
      <c r="F20" s="14">
        <f t="shared" si="1"/>
        <v>0.502</v>
      </c>
    </row>
    <row r="21" spans="2:15" x14ac:dyDescent="0.2">
      <c r="B21" s="19">
        <v>2016</v>
      </c>
      <c r="C21" s="23"/>
      <c r="D21" s="20">
        <v>0.48599999999999999</v>
      </c>
      <c r="E21" s="15">
        <f t="shared" si="0"/>
        <v>9.8000000000000007</v>
      </c>
      <c r="F21" s="14">
        <f t="shared" si="1"/>
        <v>0.48599999999999999</v>
      </c>
    </row>
    <row r="22" spans="2:15" x14ac:dyDescent="0.2">
      <c r="B22" s="19">
        <v>2017</v>
      </c>
      <c r="C22" s="23"/>
      <c r="D22" s="20">
        <v>0.48199999999999998</v>
      </c>
      <c r="E22" s="15">
        <f t="shared" si="0"/>
        <v>9.8000000000000007</v>
      </c>
      <c r="F22" s="14">
        <f t="shared" si="1"/>
        <v>0.48199999999999998</v>
      </c>
    </row>
    <row r="23" spans="2:15" x14ac:dyDescent="0.2">
      <c r="B23" s="21">
        <v>2018</v>
      </c>
      <c r="C23" s="24"/>
      <c r="D23" s="22">
        <v>0.47560000000000002</v>
      </c>
      <c r="E23" s="15">
        <f t="shared" si="0"/>
        <v>9.8000000000000007</v>
      </c>
      <c r="F23" s="14">
        <f t="shared" si="1"/>
        <v>0.47560000000000002</v>
      </c>
    </row>
    <row r="24" spans="2:15" x14ac:dyDescent="0.2">
      <c r="B24" s="9">
        <v>2019</v>
      </c>
      <c r="C24" s="5"/>
      <c r="D24" s="6"/>
      <c r="E24" s="13">
        <f t="shared" si="0"/>
        <v>9.8000000000000007</v>
      </c>
      <c r="F24" s="14">
        <f t="shared" si="1"/>
        <v>0.47560000000000002</v>
      </c>
    </row>
    <row r="25" spans="2:15" x14ac:dyDescent="0.2">
      <c r="B25" s="9">
        <v>2020</v>
      </c>
      <c r="C25" s="5"/>
      <c r="D25" s="6"/>
      <c r="E25" s="13">
        <f t="shared" si="0"/>
        <v>9.8000000000000007</v>
      </c>
      <c r="F25" s="14">
        <f t="shared" si="1"/>
        <v>0.47560000000000002</v>
      </c>
    </row>
    <row r="26" spans="2:15" x14ac:dyDescent="0.2">
      <c r="B26" s="9">
        <v>2021</v>
      </c>
      <c r="C26" s="5"/>
      <c r="D26" s="6"/>
      <c r="E26" s="13">
        <f t="shared" si="0"/>
        <v>9.8000000000000007</v>
      </c>
      <c r="F26" s="14">
        <f t="shared" si="1"/>
        <v>0.47560000000000002</v>
      </c>
    </row>
    <row r="27" spans="2:15" x14ac:dyDescent="0.2">
      <c r="B27" s="9">
        <v>2022</v>
      </c>
      <c r="C27" s="5"/>
      <c r="D27" s="6"/>
      <c r="E27" s="13">
        <f t="shared" si="0"/>
        <v>9.8000000000000007</v>
      </c>
      <c r="F27" s="14">
        <f t="shared" si="1"/>
        <v>0.47560000000000002</v>
      </c>
    </row>
    <row r="28" spans="2:15" x14ac:dyDescent="0.2">
      <c r="B28" s="9">
        <v>2023</v>
      </c>
      <c r="C28" s="5"/>
      <c r="D28" s="6"/>
      <c r="E28" s="13">
        <f t="shared" si="0"/>
        <v>9.8000000000000007</v>
      </c>
      <c r="F28" s="14">
        <f t="shared" si="1"/>
        <v>0.47560000000000002</v>
      </c>
    </row>
    <row r="29" spans="2:15" x14ac:dyDescent="0.2">
      <c r="B29" s="9">
        <v>2024</v>
      </c>
      <c r="C29" s="5"/>
      <c r="D29" s="6"/>
      <c r="E29" s="13">
        <f t="shared" si="0"/>
        <v>9.8000000000000007</v>
      </c>
      <c r="F29" s="14">
        <f t="shared" si="1"/>
        <v>0.47560000000000002</v>
      </c>
    </row>
    <row r="30" spans="2:15" x14ac:dyDescent="0.2">
      <c r="B30" s="9">
        <v>2025</v>
      </c>
      <c r="C30" s="5"/>
      <c r="D30" s="6"/>
      <c r="E30" s="13">
        <f t="shared" si="0"/>
        <v>9.8000000000000007</v>
      </c>
      <c r="F30" s="14">
        <f t="shared" si="1"/>
        <v>0.47560000000000002</v>
      </c>
    </row>
    <row r="31" spans="2:15" x14ac:dyDescent="0.2">
      <c r="B31" s="9">
        <v>2026</v>
      </c>
      <c r="C31" s="5"/>
      <c r="D31" s="6"/>
      <c r="E31" s="13">
        <f>IF(C31&lt;&gt;"",C31,E30)</f>
        <v>9.8000000000000007</v>
      </c>
      <c r="F31" s="14">
        <f>IF(D31&lt;&gt;"",D31,F30)</f>
        <v>0.47560000000000002</v>
      </c>
    </row>
    <row r="32" spans="2:15" x14ac:dyDescent="0.2">
      <c r="B32" s="9">
        <v>2027</v>
      </c>
      <c r="C32" s="5"/>
      <c r="D32" s="6"/>
      <c r="E32" s="13">
        <f t="shared" ref="E32:E55" si="2">IF(C32&lt;&gt;"",C32,E31)</f>
        <v>9.8000000000000007</v>
      </c>
      <c r="F32" s="14">
        <f t="shared" ref="F32:F55" si="3">IF(D32&lt;&gt;"",D32,F31)</f>
        <v>0.47560000000000002</v>
      </c>
    </row>
    <row r="33" spans="2:6" x14ac:dyDescent="0.2">
      <c r="B33" s="9">
        <v>2028</v>
      </c>
      <c r="C33" s="5"/>
      <c r="D33" s="6"/>
      <c r="E33" s="13">
        <f t="shared" si="2"/>
        <v>9.8000000000000007</v>
      </c>
      <c r="F33" s="14">
        <f t="shared" si="3"/>
        <v>0.47560000000000002</v>
      </c>
    </row>
    <row r="34" spans="2:6" x14ac:dyDescent="0.2">
      <c r="B34" s="9">
        <v>2029</v>
      </c>
      <c r="C34" s="5"/>
      <c r="D34" s="6"/>
      <c r="E34" s="13">
        <f t="shared" si="2"/>
        <v>9.8000000000000007</v>
      </c>
      <c r="F34" s="14">
        <f t="shared" si="3"/>
        <v>0.47560000000000002</v>
      </c>
    </row>
    <row r="35" spans="2:6" x14ac:dyDescent="0.2">
      <c r="B35" s="9">
        <v>2030</v>
      </c>
      <c r="C35" s="5"/>
      <c r="D35" s="6"/>
      <c r="E35" s="13">
        <f t="shared" si="2"/>
        <v>9.8000000000000007</v>
      </c>
      <c r="F35" s="14">
        <f t="shared" si="3"/>
        <v>0.47560000000000002</v>
      </c>
    </row>
    <row r="36" spans="2:6" x14ac:dyDescent="0.2">
      <c r="B36" s="9">
        <v>2031</v>
      </c>
      <c r="C36" s="5"/>
      <c r="D36" s="6"/>
      <c r="E36" s="13">
        <f t="shared" si="2"/>
        <v>9.8000000000000007</v>
      </c>
      <c r="F36" s="14">
        <f t="shared" si="3"/>
        <v>0.47560000000000002</v>
      </c>
    </row>
    <row r="37" spans="2:6" x14ac:dyDescent="0.2">
      <c r="B37" s="9">
        <v>2032</v>
      </c>
      <c r="C37" s="5"/>
      <c r="D37" s="6"/>
      <c r="E37" s="13">
        <f t="shared" si="2"/>
        <v>9.8000000000000007</v>
      </c>
      <c r="F37" s="14">
        <f t="shared" si="3"/>
        <v>0.47560000000000002</v>
      </c>
    </row>
    <row r="38" spans="2:6" x14ac:dyDescent="0.2">
      <c r="B38" s="9">
        <v>2033</v>
      </c>
      <c r="C38" s="5"/>
      <c r="D38" s="6"/>
      <c r="E38" s="13">
        <f t="shared" si="2"/>
        <v>9.8000000000000007</v>
      </c>
      <c r="F38" s="14">
        <f t="shared" si="3"/>
        <v>0.47560000000000002</v>
      </c>
    </row>
    <row r="39" spans="2:6" x14ac:dyDescent="0.2">
      <c r="B39" s="9">
        <v>2034</v>
      </c>
      <c r="C39" s="5"/>
      <c r="D39" s="6"/>
      <c r="E39" s="13">
        <f t="shared" si="2"/>
        <v>9.8000000000000007</v>
      </c>
      <c r="F39" s="14">
        <f t="shared" si="3"/>
        <v>0.47560000000000002</v>
      </c>
    </row>
    <row r="40" spans="2:6" x14ac:dyDescent="0.2">
      <c r="B40" s="9">
        <v>2035</v>
      </c>
      <c r="C40" s="5"/>
      <c r="D40" s="6"/>
      <c r="E40" s="13">
        <f t="shared" si="2"/>
        <v>9.8000000000000007</v>
      </c>
      <c r="F40" s="14">
        <f t="shared" si="3"/>
        <v>0.47560000000000002</v>
      </c>
    </row>
    <row r="41" spans="2:6" x14ac:dyDescent="0.2">
      <c r="B41" s="9">
        <v>2036</v>
      </c>
      <c r="C41" s="5"/>
      <c r="D41" s="6"/>
      <c r="E41" s="13">
        <f t="shared" si="2"/>
        <v>9.8000000000000007</v>
      </c>
      <c r="F41" s="14">
        <f t="shared" si="3"/>
        <v>0.47560000000000002</v>
      </c>
    </row>
    <row r="42" spans="2:6" x14ac:dyDescent="0.2">
      <c r="B42" s="9">
        <v>2037</v>
      </c>
      <c r="C42" s="5"/>
      <c r="D42" s="6"/>
      <c r="E42" s="13">
        <f t="shared" si="2"/>
        <v>9.8000000000000007</v>
      </c>
      <c r="F42" s="14">
        <f t="shared" si="3"/>
        <v>0.47560000000000002</v>
      </c>
    </row>
    <row r="43" spans="2:6" x14ac:dyDescent="0.2">
      <c r="B43" s="9">
        <v>2038</v>
      </c>
      <c r="C43" s="5"/>
      <c r="D43" s="6"/>
      <c r="E43" s="13">
        <f t="shared" si="2"/>
        <v>9.8000000000000007</v>
      </c>
      <c r="F43" s="14">
        <f t="shared" si="3"/>
        <v>0.47560000000000002</v>
      </c>
    </row>
    <row r="44" spans="2:6" x14ac:dyDescent="0.2">
      <c r="B44" s="9">
        <v>2039</v>
      </c>
      <c r="C44" s="5"/>
      <c r="D44" s="6"/>
      <c r="E44" s="13">
        <f t="shared" si="2"/>
        <v>9.8000000000000007</v>
      </c>
      <c r="F44" s="14">
        <f t="shared" si="3"/>
        <v>0.47560000000000002</v>
      </c>
    </row>
    <row r="45" spans="2:6" x14ac:dyDescent="0.2">
      <c r="B45" s="9">
        <v>2040</v>
      </c>
      <c r="C45" s="5"/>
      <c r="D45" s="6"/>
      <c r="E45" s="13">
        <f t="shared" si="2"/>
        <v>9.8000000000000007</v>
      </c>
      <c r="F45" s="14">
        <f t="shared" si="3"/>
        <v>0.47560000000000002</v>
      </c>
    </row>
    <row r="46" spans="2:6" x14ac:dyDescent="0.2">
      <c r="B46" s="9">
        <v>2041</v>
      </c>
      <c r="C46" s="5"/>
      <c r="D46" s="6"/>
      <c r="E46" s="13">
        <f t="shared" si="2"/>
        <v>9.8000000000000007</v>
      </c>
      <c r="F46" s="14">
        <f t="shared" si="3"/>
        <v>0.47560000000000002</v>
      </c>
    </row>
    <row r="47" spans="2:6" x14ac:dyDescent="0.2">
      <c r="B47" s="9">
        <v>2042</v>
      </c>
      <c r="C47" s="5"/>
      <c r="D47" s="6"/>
      <c r="E47" s="13">
        <f t="shared" si="2"/>
        <v>9.8000000000000007</v>
      </c>
      <c r="F47" s="14">
        <f t="shared" si="3"/>
        <v>0.47560000000000002</v>
      </c>
    </row>
    <row r="48" spans="2:6" x14ac:dyDescent="0.2">
      <c r="B48" s="9">
        <v>2043</v>
      </c>
      <c r="C48" s="5"/>
      <c r="D48" s="6"/>
      <c r="E48" s="13">
        <f t="shared" si="2"/>
        <v>9.8000000000000007</v>
      </c>
      <c r="F48" s="14">
        <f t="shared" si="3"/>
        <v>0.47560000000000002</v>
      </c>
    </row>
    <row r="49" spans="2:6" x14ac:dyDescent="0.2">
      <c r="B49" s="9">
        <v>2044</v>
      </c>
      <c r="C49" s="5"/>
      <c r="D49" s="6"/>
      <c r="E49" s="13">
        <f t="shared" si="2"/>
        <v>9.8000000000000007</v>
      </c>
      <c r="F49" s="14">
        <f t="shared" si="3"/>
        <v>0.47560000000000002</v>
      </c>
    </row>
    <row r="50" spans="2:6" x14ac:dyDescent="0.2">
      <c r="B50" s="9">
        <v>2045</v>
      </c>
      <c r="C50" s="5"/>
      <c r="D50" s="6"/>
      <c r="E50" s="13">
        <f t="shared" si="2"/>
        <v>9.8000000000000007</v>
      </c>
      <c r="F50" s="14">
        <f t="shared" si="3"/>
        <v>0.47560000000000002</v>
      </c>
    </row>
    <row r="51" spans="2:6" x14ac:dyDescent="0.2">
      <c r="B51" s="9">
        <v>2046</v>
      </c>
      <c r="C51" s="5"/>
      <c r="D51" s="6"/>
      <c r="E51" s="13">
        <f t="shared" si="2"/>
        <v>9.8000000000000007</v>
      </c>
      <c r="F51" s="14">
        <f t="shared" si="3"/>
        <v>0.47560000000000002</v>
      </c>
    </row>
    <row r="52" spans="2:6" x14ac:dyDescent="0.2">
      <c r="B52" s="9">
        <v>2047</v>
      </c>
      <c r="C52" s="5"/>
      <c r="D52" s="6"/>
      <c r="E52" s="13">
        <f t="shared" si="2"/>
        <v>9.8000000000000007</v>
      </c>
      <c r="F52" s="14">
        <f t="shared" si="3"/>
        <v>0.47560000000000002</v>
      </c>
    </row>
    <row r="53" spans="2:6" x14ac:dyDescent="0.2">
      <c r="B53" s="9">
        <v>2048</v>
      </c>
      <c r="C53" s="5"/>
      <c r="D53" s="6"/>
      <c r="E53" s="13">
        <f t="shared" si="2"/>
        <v>9.8000000000000007</v>
      </c>
      <c r="F53" s="14">
        <f t="shared" si="3"/>
        <v>0.47560000000000002</v>
      </c>
    </row>
    <row r="54" spans="2:6" x14ac:dyDescent="0.2">
      <c r="B54" s="9">
        <v>2049</v>
      </c>
      <c r="C54" s="5"/>
      <c r="D54" s="6"/>
      <c r="E54" s="13">
        <f t="shared" si="2"/>
        <v>9.8000000000000007</v>
      </c>
      <c r="F54" s="14">
        <f t="shared" si="3"/>
        <v>0.47560000000000002</v>
      </c>
    </row>
    <row r="55" spans="2:6" x14ac:dyDescent="0.2">
      <c r="B55" s="10">
        <v>2050</v>
      </c>
      <c r="C55" s="7"/>
      <c r="D55" s="8"/>
      <c r="E55" s="16">
        <f t="shared" si="2"/>
        <v>9.8000000000000007</v>
      </c>
      <c r="F55" s="17">
        <f t="shared" si="3"/>
        <v>0.47560000000000002</v>
      </c>
    </row>
  </sheetData>
  <mergeCells count="5">
    <mergeCell ref="B3:B4"/>
    <mergeCell ref="C2:D2"/>
    <mergeCell ref="E2:F2"/>
    <mergeCell ref="L9:M9"/>
    <mergeCell ref="N9:O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FE1C750B0EF943B8CAD54A1D0C3577" ma:contentTypeVersion="17" ma:contentTypeDescription="Create a new document." ma:contentTypeScope="" ma:versionID="7050c4e4a4273072034507f22ff3a01d">
  <xsd:schema xmlns:xsd="http://www.w3.org/2001/XMLSchema" xmlns:xs="http://www.w3.org/2001/XMLSchema" xmlns:p="http://schemas.microsoft.com/office/2006/metadata/properties" xmlns:ns2="5e15cd5a-78cb-442a-b814-603ed83d89b2" xmlns:ns3="84589a4a-7a17-4b4a-97ef-f154c3336ddd" targetNamespace="http://schemas.microsoft.com/office/2006/metadata/properties" ma:root="true" ma:fieldsID="fed8910e34c564f9187e8e03b0465636" ns2:_="" ns3:_="">
    <xsd:import namespace="5e15cd5a-78cb-442a-b814-603ed83d89b2"/>
    <xsd:import namespace="84589a4a-7a17-4b4a-97ef-f154c3336dd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15cd5a-78cb-442a-b814-603ed83d89b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b565d3-9020-43db-9857-cad072e3a72c}" ma:internalName="TaxCatchAll" ma:showField="CatchAllData" ma:web="5e15cd5a-78cb-442a-b814-603ed83d89b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89a4a-7a17-4b4a-97ef-f154c3336dd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b9dd83b-b33c-4f9f-8764-6b118feef3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589a4a-7a17-4b4a-97ef-f154c3336ddd">
      <Terms xmlns="http://schemas.microsoft.com/office/infopath/2007/PartnerControls"/>
    </lcf76f155ced4ddcb4097134ff3c332f>
    <TaxCatchAll xmlns="5e15cd5a-78cb-442a-b814-603ed83d89b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84EF75-BA8E-4D4D-BAA8-8B8CA08CB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15cd5a-78cb-442a-b814-603ed83d89b2"/>
    <ds:schemaRef ds:uri="84589a4a-7a17-4b4a-97ef-f154c3336d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6A0528-1D80-44D4-B1F8-3C2649396B30}">
  <ds:schemaRefs>
    <ds:schemaRef ds:uri="http://purl.org/dc/terms/"/>
    <ds:schemaRef ds:uri="http://purl.org/dc/dcmitype/"/>
    <ds:schemaRef ds:uri="5e15cd5a-78cb-442a-b814-603ed83d89b2"/>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84589a4a-7a17-4b4a-97ef-f154c3336ddd"/>
  </ds:schemaRefs>
</ds:datastoreItem>
</file>

<file path=customXml/itemProps3.xml><?xml version="1.0" encoding="utf-8"?>
<ds:datastoreItem xmlns:ds="http://schemas.openxmlformats.org/officeDocument/2006/customXml" ds:itemID="{0BCB9753-F9BB-4401-8521-B3F01D44AD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Notes</vt:lpstr>
      <vt:lpstr>Company-Level Reporting</vt:lpstr>
      <vt:lpstr>Plant-Level Reporting (1)</vt:lpstr>
      <vt:lpstr>Plant-Level Reporting (2)</vt:lpstr>
      <vt:lpstr>Plant-Level Reporting (3)</vt:lpstr>
      <vt:lpstr>Conversion and Emission Factors</vt:lpstr>
      <vt:lpstr>'Plant-Level Reporting (1)'!Print_Area</vt:lpstr>
      <vt:lpstr>'Plant-Level Reporting (2)'!Print_Area</vt:lpstr>
      <vt:lpstr>'Plant-Level Reporting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Choi</dc:creator>
  <cp:lastModifiedBy>Sanjeev Kumar Kanchan</cp:lastModifiedBy>
  <dcterms:created xsi:type="dcterms:W3CDTF">2018-06-13T19:26:22Z</dcterms:created>
  <dcterms:modified xsi:type="dcterms:W3CDTF">2025-11-07T04:48:01Z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0x010100CDFE1C750B0EF943B8CAD54A1D0C3577</vt:lpwstr>
  </property>
  <property fmtid="{D5CDD505-2E9C-101B-9397-08002B2CF9AE}" pid="3" name="MediaServiceImageTags">
    <vt:lpwstr/>
  </property>
</Properties>
</file>